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9200" windowHeight="12570" tabRatio="749" activeTab="0"/>
  </bookViews>
  <sheets>
    <sheet name="T1a - Študenti_1st" sheetId="1" r:id="rId1"/>
    <sheet name="T1b - Študenti_2_st" sheetId="2" r:id="rId2"/>
    <sheet name="T1c - Študenti_3_st" sheetId="3" r:id="rId3"/>
    <sheet name="T2a - Noví_študenti_1_1+2_st" sheetId="4" r:id="rId4"/>
    <sheet name="T2b - Noví_študenti_2_st alt" sheetId="5" r:id="rId5"/>
    <sheet name="T2c - Noví_študenti_3_st" sheetId="6" r:id="rId6"/>
    <sheet name="T3a - Absolventi_ 1_st" sheetId="7" r:id="rId7"/>
    <sheet name="T3b - Absolventi_2_st" sheetId="8" r:id="rId8"/>
    <sheet name="T3c - Absolventi_ 3_st" sheetId="9" r:id="rId9"/>
    <sheet name="T4 - PK_05-06 1a1+2st" sheetId="10" r:id="rId10"/>
    <sheet name="T5 - PK_05-06_FO_1_1+2 st" sheetId="11" r:id="rId11"/>
    <sheet name="T6 - vek uchádzačov" sheetId="12" r:id="rId12"/>
    <sheet name="T7 - uchadzaci ako maturanti" sheetId="13" r:id="rId13"/>
    <sheet name="T8 - zdroj uchadzaca" sheetId="14" r:id="rId14"/>
    <sheet name="T9 - pr. platy učitelia" sheetId="15" r:id="rId15"/>
    <sheet name="T10 - vek internych ucitelov" sheetId="16" r:id="rId16"/>
    <sheet name="T11a - VVŠ_VEGA" sheetId="17" r:id="rId17"/>
    <sheet name="T11b - Komisie_VEGA" sheetId="18" r:id="rId18"/>
    <sheet name="T12 - VVŠ_KEGA " sheetId="19" r:id="rId19"/>
    <sheet name="T13 - VVŠ_AP" sheetId="20" r:id="rId20"/>
    <sheet name="T14 - VVŠ_MVTS" sheetId="21" r:id="rId21"/>
    <sheet name="T15a-VVŠ_ŠP" sheetId="22" r:id="rId22"/>
    <sheet name="T15b - SVV_ŠP" sheetId="23" r:id="rId23"/>
    <sheet name="T16a - VVŠ_APVV" sheetId="24" r:id="rId24"/>
    <sheet name="T16b - SVV_APVV" sheetId="25" r:id="rId25"/>
    <sheet name="T17_VVŠ_ZG" sheetId="26" r:id="rId26"/>
    <sheet name="T_18_soc. štip_2006" sheetId="27" r:id="rId27"/>
    <sheet name="T19 - Ubytovacia_kapacita" sheetId="28" r:id="rId28"/>
    <sheet name="T_20a_Súvaha_A_2006" sheetId="29" r:id="rId29"/>
    <sheet name="T_20b_Súvaha_P_2006" sheetId="30" r:id="rId30"/>
    <sheet name="T21-účet 384" sheetId="31" r:id="rId31"/>
    <sheet name="T_22_Výnosy_2006" sheetId="32" r:id="rId32"/>
    <sheet name="T23 - Výnosy_porovnanie" sheetId="33" r:id="rId33"/>
    <sheet name="T24_Náklady_2006" sheetId="34" r:id="rId34"/>
    <sheet name="T25 - Náklady_porovnanie" sheetId="35" r:id="rId35"/>
    <sheet name="T_26_HV_2006" sheetId="36" r:id="rId36"/>
    <sheet name="T_27_Výnosy_soc.star._2006" sheetId="37" r:id="rId37"/>
    <sheet name="T28_Náklady_soc. star._2006" sheetId="38" r:id="rId38"/>
    <sheet name="T29 - hosp výsl soc oblasť" sheetId="39" r:id="rId39"/>
    <sheet name="T30 - SANET" sheetId="40" r:id="rId40"/>
  </sheets>
  <externalReferences>
    <externalReference r:id="rId43"/>
    <externalReference r:id="rId44"/>
  </externalReferences>
  <definedNames>
    <definedName name="aaa" hidden="1">3</definedName>
    <definedName name="denní">#REF!</definedName>
    <definedName name="dokpo">#REF!</definedName>
    <definedName name="dokpred">#REF!</definedName>
    <definedName name="druhý">#REF!</definedName>
    <definedName name="exterdruhý">#REF!</definedName>
    <definedName name="externeplat">#REF!</definedName>
    <definedName name="exterplat">#REF!</definedName>
    <definedName name="KKS_doc">#REF!</definedName>
    <definedName name="KKS_ost">#REF!</definedName>
    <definedName name="KKS_phd">#REF!</definedName>
    <definedName name="KKS_prof">#REF!</definedName>
    <definedName name="kmp1">#REF!</definedName>
    <definedName name="kmt1">#REF!</definedName>
    <definedName name="koef_gm_mzdy">#REF!</definedName>
    <definedName name="koef_kpn">#REF!</definedName>
    <definedName name="koef_prer_nad_gm_mzdy">#REF!</definedName>
    <definedName name="koef_PV">#REF!</definedName>
    <definedName name="koef_udr_kat1">#REF!</definedName>
    <definedName name="koef_udr_kat2">#REF!</definedName>
    <definedName name="koef_udr_kat3">#REF!</definedName>
    <definedName name="koef_VV">#REF!</definedName>
    <definedName name="kpn_ca_do">#REF!</definedName>
    <definedName name="kpn_ca_nad">#REF!</definedName>
    <definedName name="kzk">#REF!</definedName>
    <definedName name="kzspp">#REF!</definedName>
    <definedName name="_xlnm.Print_Titles" localSheetId="26">'T_18_soc. štip_2006'!$A:$A</definedName>
    <definedName name="_xlnm.Print_Titles" localSheetId="0">'T1a - Študenti_1st'!$1:$2</definedName>
    <definedName name="_xlnm.Print_Titles" localSheetId="1">'T1b - Študenti_2_st'!$1:$2</definedName>
    <definedName name="_xlnm.Print_Titles" localSheetId="2">'T1c - Študenti_3_st'!$1:$2</definedName>
    <definedName name="_xlnm.Print_Titles" localSheetId="9">'T4 - PK_05-06 1a1+2st'!$1:$3</definedName>
    <definedName name="_xlnm.Print_Titles" localSheetId="10">'T5 - PK_05-06_FO_1_1+2 st'!$1:$3</definedName>
    <definedName name="nefinanc">1</definedName>
    <definedName name="_xlnm.Print_Area" localSheetId="26">'T_18_soc. štip_2006'!$A$1:$I$23</definedName>
    <definedName name="_xlnm.Print_Area" localSheetId="28">'T_20a_Súvaha_A_2006'!$A$1:$D$50</definedName>
    <definedName name="_xlnm.Print_Area" localSheetId="35">'T_26_HV_2006'!$A$1:$J$23</definedName>
    <definedName name="_xlnm.Print_Area" localSheetId="36">'T_27_Výnosy_soc.star._2006'!$A$1:$J$36</definedName>
    <definedName name="_xlnm.Print_Area" localSheetId="16">'T11a - VVŠ_VEGA'!$A$1:$J$24</definedName>
    <definedName name="_xlnm.Print_Area" localSheetId="27">'T19 - Ubytovacia_kapacita'!$A$1:$I$24</definedName>
    <definedName name="_xlnm.Print_Area" localSheetId="0">'T1a - Študenti_1st'!$A$1:$J$36</definedName>
    <definedName name="_xlnm.Print_Area" localSheetId="1">'T1b - Študenti_2_st'!$A$1:$J$36</definedName>
    <definedName name="_xlnm.Print_Area" localSheetId="2">'T1c - Študenti_3_st'!$A$1:$J$29</definedName>
    <definedName name="_xlnm.Print_Area" localSheetId="32">'T23 - Výnosy_porovnanie'!$A$1:$J$36</definedName>
    <definedName name="_xlnm.Print_Area" localSheetId="34">'T25 - Náklady_porovnanie'!$A$1:$J$41</definedName>
    <definedName name="_xlnm.Print_Area" localSheetId="37">'T28_Náklady_soc. star._2006'!$A$1:$J$41</definedName>
    <definedName name="_xlnm.Print_Area" localSheetId="38">'T29 - hosp výsl soc oblasť'!$A$1:$J$23</definedName>
    <definedName name="_xlnm.Print_Area" localSheetId="3">'T2a - Noví_študenti_1_1+2_st'!$A$1:$N$37</definedName>
    <definedName name="_xlnm.Print_Area" localSheetId="4">'T2b - Noví_študenti_2_st alt'!$A$1:$J$32</definedName>
    <definedName name="_xlnm.Print_Area" localSheetId="6">'T3a - Absolventi_ 1_st'!$A$1:$J$36</definedName>
    <definedName name="_xlnm.Print_Area" localSheetId="7">'T3b - Absolventi_2_st'!$A$1:$J$36</definedName>
    <definedName name="_xlnm.Print_Area" localSheetId="8">'T3c - Absolventi_ 3_st'!$A$1:$J$26</definedName>
    <definedName name="_xlnm.Print_Area" localSheetId="9">'T4 - PK_05-06 1a1+2st'!#REF!</definedName>
    <definedName name="_xlnm.Print_Area" localSheetId="11">'T6 - vek uchádzačov'!#REF!</definedName>
    <definedName name="_xlnm.Print_Area" localSheetId="13">'T8 - zdroj uchadzaca'!$A$1:$N$42</definedName>
    <definedName name="_xlnm.Print_Area" localSheetId="14">'T9 - pr. platy učitelia'!$A$1:$M$27</definedName>
    <definedName name="pocet_jedal">#REF!</definedName>
    <definedName name="podiel">#REF!</definedName>
    <definedName name="poistné">#REF!</definedName>
    <definedName name="Pp_DrŠ_exist">#REF!</definedName>
    <definedName name="Pp_DrŠ_noví">#REF!</definedName>
    <definedName name="Pp_DrŠ_spolu">#REF!</definedName>
    <definedName name="Pp_klinické_TaS">#REF!</definedName>
    <definedName name="Pp_klinické_TaS_rozpísaný">#REF!</definedName>
    <definedName name="Pp_Rozvoj_BD">#REF!</definedName>
    <definedName name="Pp_Soc_BD">#REF!</definedName>
    <definedName name="Pp_VaT_BD">#REF!</definedName>
    <definedName name="Pp_VaT_mzdy">#REF!</definedName>
    <definedName name="Pp_VaT_mzdy_rezerva">#REF!</definedName>
    <definedName name="Pp_VaT_mzdy_zac_roka">#REF!</definedName>
    <definedName name="Pp_Vzdel_BD">#REF!</definedName>
    <definedName name="Pp_Vzdel_mzdy">#REF!</definedName>
    <definedName name="Pp_Vzdel_mzdy_kontr">#REF!</definedName>
    <definedName name="Pp_Vzdel_mzdy_na_prer_modif">#REF!</definedName>
    <definedName name="Pp_Vzdel_mzdy_na_prer_nemodif">#REF!</definedName>
    <definedName name="Pp_Vzdel_mzdy_prevádz">#REF!</definedName>
    <definedName name="Pp_Vzdel_mzdy_rezerva">#REF!</definedName>
    <definedName name="Pp_Vzdel_mzdy_spec">#REF!</definedName>
    <definedName name="Pp_Vzdel_mzdy_výkon">#REF!</definedName>
    <definedName name="Pp_Vzdel_mzdy_výkon_PV">#REF!</definedName>
    <definedName name="Pp_Vzdel_mzdy_výkon_PV_bez">#REF!</definedName>
    <definedName name="Pp_Vzdel_mzdy_výkon_PV_um">#REF!</definedName>
    <definedName name="Pp_Vzdel_mzdy_výkon_VV">#REF!</definedName>
    <definedName name="Pp_Vzdel_mzdy_výkon_VV_bez">#REF!</definedName>
    <definedName name="Pp_Vzdel_mzdy_výkon_VV_um">#REF!</definedName>
    <definedName name="Pp_Vzdel_spec_prax">#REF!</definedName>
    <definedName name="Pp_Vzdel_TaS">#REF!</definedName>
    <definedName name="Pp_Vzdel_TaS_rezerva">#REF!</definedName>
    <definedName name="Pp_Vzdel_TaS_spec">#REF!</definedName>
    <definedName name="Pp_Vzdel_TaS_stav">#REF!</definedName>
    <definedName name="Pp_Vzdel_TaS_výkon">#REF!</definedName>
    <definedName name="Pp_Vzdel_TaS_výkon_PPŠ">#REF!</definedName>
    <definedName name="Pp_Vzdel_TaS_výkon_PPŠ_a_zákl">#REF!</definedName>
    <definedName name="Pp_Vzdel_TaS_výkon_PPŠ_KEN">#REF!</definedName>
    <definedName name="Pp_Vzdel_TaS_zahr_granty">#REF!</definedName>
    <definedName name="Pp_Vzdel_TaS_zákl">#REF!</definedName>
    <definedName name="Pr_AV_BD">#REF!</definedName>
    <definedName name="Pr_IV_BD">#REF!</definedName>
    <definedName name="Pr_IV_KV">#REF!</definedName>
    <definedName name="Pr_IV_KV_rezerva">#REF!</definedName>
    <definedName name="Pr_KEGA_BD">#REF!</definedName>
    <definedName name="Pr_klinické">#REF!</definedName>
    <definedName name="Pr_KŠ">#REF!</definedName>
    <definedName name="Pr_motštip_BD">#REF!</definedName>
    <definedName name="Pr_MVTS_BD">#REF!</definedName>
    <definedName name="Pr_socštip_BD">#REF!</definedName>
    <definedName name="Pr_ŠD">#REF!</definedName>
    <definedName name="Pr_ŠDaJKŠPC_BD">#REF!</definedName>
    <definedName name="Pr_VaT_KV_zac_roka">#REF!</definedName>
    <definedName name="Pr_VaT_TaS">#REF!</definedName>
    <definedName name="Pr_VaT_TaS_rezerva">#REF!</definedName>
    <definedName name="Pr_VaT_TaS_zac_roka">#REF!</definedName>
    <definedName name="Pr_VEGA_BD">#REF!</definedName>
    <definedName name="predmety">#REF!</definedName>
    <definedName name="prisp_na_1_jedlo">#REF!</definedName>
    <definedName name="prisp_na_ubyt_stud_SD">#REF!</definedName>
    <definedName name="prisp_na_ubyt_stud_ZZ">#REF!</definedName>
    <definedName name="prísp_zákl_prev">#REF!</definedName>
    <definedName name="R_vvs">#REF!</definedName>
    <definedName name="R_vvs_BD">#REF!</definedName>
    <definedName name="R_vvs_VaT_BD">#REF!</definedName>
    <definedName name="Sanet">#REF!</definedName>
    <definedName name="SAPBEXrevision" hidden="1">7</definedName>
    <definedName name="SAPBEXsysID" hidden="1">"BS1"</definedName>
    <definedName name="SAPBEXwbID" hidden="1">"3TG3S316PX9BHXMQEBSXSYZZO"</definedName>
    <definedName name="stavba_ucelova">#REF!</definedName>
    <definedName name="studenti_vstup">#REF!</definedName>
    <definedName name="sustava">#REF!</definedName>
    <definedName name="váha_absDrš">#REF!</definedName>
    <definedName name="váha_DG">#REF!</definedName>
    <definedName name="váha_poDs">#REF!</definedName>
    <definedName name="váha_Pub">#REF!</definedName>
    <definedName name="váha_ZG">#REF!</definedName>
    <definedName name="výkon_um">#REF!</definedName>
    <definedName name="wd1" localSheetId="30">'[2]vahy'!$B$1</definedName>
    <definedName name="wd1" localSheetId="32">'[2]vahy'!$B$1</definedName>
    <definedName name="wd1" localSheetId="34">'[2]vahy'!$B$1</definedName>
    <definedName name="wd1" localSheetId="38">'[2]vahy'!$B$1</definedName>
    <definedName name="wd1">'[1]vahy'!$B$1</definedName>
    <definedName name="wd3" localSheetId="30">'[2]vahy'!$B$3</definedName>
    <definedName name="wd3" localSheetId="32">'[2]vahy'!$B$3</definedName>
    <definedName name="wd3" localSheetId="34">'[2]vahy'!$B$3</definedName>
    <definedName name="wd3" localSheetId="38">'[2]vahy'!$B$3</definedName>
    <definedName name="wd3">'[1]vahy'!$B$3</definedName>
    <definedName name="we1" localSheetId="30">'[2]vahy'!$B$2</definedName>
    <definedName name="we1" localSheetId="32">'[2]vahy'!$B$2</definedName>
    <definedName name="we1" localSheetId="34">'[2]vahy'!$B$2</definedName>
    <definedName name="we1" localSheetId="38">'[2]vahy'!$B$2</definedName>
    <definedName name="we1">'[1]vahy'!$B$2</definedName>
    <definedName name="we3" localSheetId="30">'[2]vahy'!$B$4</definedName>
    <definedName name="we3" localSheetId="32">'[2]vahy'!$B$4</definedName>
    <definedName name="we3" localSheetId="34">'[2]vahy'!$B$4</definedName>
    <definedName name="we3" localSheetId="38">'[2]vahy'!$B$4</definedName>
    <definedName name="we3">'[1]vahy'!$B$4</definedName>
    <definedName name="xxx" hidden="1">"3TGMUFSSIAIMK2KTNC9DELQD0"</definedName>
    <definedName name="Z_F25C9245_35C5_4ABC_969B_CF807BBEA834_.wvu.PrintArea" localSheetId="27" hidden="1">'T19 - Ubytovacia_kapacita'!$A$1:$E$24</definedName>
    <definedName name="Z_F25C9245_35C5_4ABC_969B_CF807BBEA834_.wvu.PrintArea" localSheetId="0" hidden="1">'T1a - Študenti_1st'!$A$1:$D$32</definedName>
    <definedName name="Z_F25C9245_35C5_4ABC_969B_CF807BBEA834_.wvu.PrintArea" localSheetId="1" hidden="1">'T1b - Študenti_2_st'!$A$1:$G$32</definedName>
    <definedName name="Z_F25C9245_35C5_4ABC_969B_CF807BBEA834_.wvu.PrintArea" localSheetId="2" hidden="1">'T1c - Študenti_3_st'!$A$1:$G$27</definedName>
    <definedName name="Z_F25C9245_35C5_4ABC_969B_CF807BBEA834_.wvu.PrintArea" localSheetId="3" hidden="1">'T2a - Noví_študenti_1_1+2_st'!$A$1:$F$33</definedName>
    <definedName name="Z_F25C9245_35C5_4ABC_969B_CF807BBEA834_.wvu.PrintArea" localSheetId="4" hidden="1">'T2b - Noví_študenti_2_st alt'!$A$1:$E$28</definedName>
    <definedName name="Z_F25C9245_35C5_4ABC_969B_CF807BBEA834_.wvu.PrintArea" localSheetId="6" hidden="1">'T3a - Absolventi_ 1_st'!$A$1:$J$36</definedName>
    <definedName name="Z_F25C9245_35C5_4ABC_969B_CF807BBEA834_.wvu.PrintArea" localSheetId="7" hidden="1">'T3b - Absolventi_2_st'!$A$1:$J$36</definedName>
    <definedName name="Z_F25C9245_35C5_4ABC_969B_CF807BBEA834_.wvu.PrintArea" localSheetId="8" hidden="1">'T3c - Absolventi_ 3_st'!$A$1:$J$26</definedName>
    <definedName name="Z_F25C9245_35C5_4ABC_969B_CF807BBEA834_.wvu.PrintArea" localSheetId="9" hidden="1">'T4 - PK_05-06 1a1+2st'!#REF!</definedName>
    <definedName name="Z_F25C9245_35C5_4ABC_969B_CF807BBEA834_.wvu.PrintArea" localSheetId="11" hidden="1">'T6 - vek uchádzačov'!#REF!</definedName>
    <definedName name="Z_F25C9245_35C5_4ABC_969B_CF807BBEA834_.wvu.PrintArea" localSheetId="13" hidden="1">'T8 - zdroj uchadzaca'!$A$1:$N$42</definedName>
    <definedName name="Z_F25C9245_35C5_4ABC_969B_CF807BBEA834_.wvu.PrintArea" localSheetId="14" hidden="1">'T9 - pr. platy učitelia'!$A$1:$M$27</definedName>
    <definedName name="Z_F25C9245_35C5_4ABC_969B_CF807BBEA834_.wvu.PrintTitles" localSheetId="9" hidden="1">'T4 - PK_05-06 1a1+2st'!$1:$3</definedName>
    <definedName name="Z_F25C9245_35C5_4ABC_969B_CF807BBEA834_.wvu.PrintTitles" localSheetId="10" hidden="1">'T5 - PK_05-06_FO_1_1+2 st'!$1:$3</definedName>
    <definedName name="zakl_prisp_na_prev_SD">#REF!</definedName>
    <definedName name="záloha">#REF!</definedName>
  </definedNames>
  <calcPr fullCalcOnLoad="1"/>
</workbook>
</file>

<file path=xl/sharedStrings.xml><?xml version="1.0" encoding="utf-8"?>
<sst xmlns="http://schemas.openxmlformats.org/spreadsheetml/2006/main" count="1793" uniqueCount="670">
  <si>
    <t>503 - Spotreba ostat.neskladov.dodávok</t>
  </si>
  <si>
    <t>Výnosy 
hlavnej činnosti</t>
  </si>
  <si>
    <t>Tabuľka č. 3b: Počty absolventov druhého stupňa vysokoškolského vzdelávania
v kalendárnych rokoch 2005 a 2006 podľa vysokých škôl *)</t>
  </si>
  <si>
    <t>Denná
forma štúdia 
2006/2007</t>
  </si>
  <si>
    <t>Externá 
forma štúdia
2006/2007</t>
  </si>
  <si>
    <t>Počet 
doktorandov 
2006/2007 
spolu</t>
  </si>
  <si>
    <t>Tabuľka č. 8: Novoprijatí na vysokoškolské štúdium na študijné programy prvého stupňa a spojeného prvého a druhého stupňa
k 31. 10. 2006 v dennej forme podľa druhu strednej školy</t>
  </si>
  <si>
    <t>Bratislavská medz.škola</t>
  </si>
  <si>
    <t>Stredoeurópska VŠ</t>
  </si>
  <si>
    <t>VŠ bezp.manažérstva</t>
  </si>
  <si>
    <t>Slov.zdravot. univerzita</t>
  </si>
  <si>
    <t>AOS</t>
  </si>
  <si>
    <t>APZ</t>
  </si>
  <si>
    <t>v roku 2006</t>
  </si>
  <si>
    <t>Tabuľka č. 2b: Počet študentov v prvom roku štúdia v študijných programoch druhého stupňa vysokoškolského vzdelávania
v akademickom roku 2005/2006 a 2006/2007 podľa vysokých škôl *)</t>
  </si>
  <si>
    <t>Počet študentov
v dennej forme 2005/2006</t>
  </si>
  <si>
    <t>Počet študentov
v externej forme 2005/2006</t>
  </si>
  <si>
    <t>Počet študentov
spolu 2005/2006</t>
  </si>
  <si>
    <t>Počet študentov
v dennej forme 2006/2007</t>
  </si>
  <si>
    <t>Počet študentov
v externej forme 2006/2007</t>
  </si>
  <si>
    <t>Počet študentov
spolu 2006/2007</t>
  </si>
  <si>
    <t>Rozdiel 
2006/07 a 
2005/06
denná 
forma štúdia</t>
  </si>
  <si>
    <t>Rozdiel
2006/07 a 
2005/06
externá 
forma štúdia</t>
  </si>
  <si>
    <t>Rozdiel
2006/07 a 
2005/06
spolu</t>
  </si>
  <si>
    <t>Spolu -ver.a súkr. SR</t>
  </si>
  <si>
    <t>Rozdiel
2006/07 a 
2005/06 
denná 
forma štúdia</t>
  </si>
  <si>
    <t>Rozdiel
2006/07 a 
2005/06 
externá 
forma štúdia</t>
  </si>
  <si>
    <t>Rozdiel 
2006/07 a 
2005/06 
spolu</t>
  </si>
  <si>
    <t>BISLA</t>
  </si>
  <si>
    <t>DTI Dubnica</t>
  </si>
  <si>
    <t>SEVŠ Skalica</t>
  </si>
  <si>
    <t>VŠBM Košice</t>
  </si>
  <si>
    <t>*) V prípade dennej formy štúdia sú uvedení len študenti slovenského občianstva; stav k 31. 10. 2005 a k 31. 10. 2006.</t>
  </si>
  <si>
    <t xml:space="preserve">Rozdiel
2006/07 a 
2005/06 
externá 
forma </t>
  </si>
  <si>
    <t xml:space="preserve">Rozdiel
2006/07 a 
2005/06 
denná 
forma </t>
  </si>
  <si>
    <t>Rozdiel 
2006/07 a 
2005/06 
denná 
forma štúdia</t>
  </si>
  <si>
    <t>Rozdiel 
2006/07 a 
2005/06 
externá 
forma štúdia</t>
  </si>
  <si>
    <t>Novoprijatí na 
dennú 
formu štúdia 
2006/2007</t>
  </si>
  <si>
    <t>Novoprijatí na 
externú 
formu štúdia 
2006/2007</t>
  </si>
  <si>
    <t>Novoprijatí
spolu
2006/2007</t>
  </si>
  <si>
    <t>Rozdiel 
2006/07 a 
2005/07 
denná
forma štúdia</t>
  </si>
  <si>
    <t>Rozdiel
2006/07 a 
2005/06 
spolu</t>
  </si>
  <si>
    <t>*) V prípade dennej formy sú uvedení len študenti slovenského občianstva. Za absolventa sa považuje ten, kto 31.12. daného roku získal príslušný vysokoškolský diplom.</t>
  </si>
  <si>
    <t xml:space="preserve">Tabuľka č. 3c: Počty absolventov tretieho stupňa vysokoškolského vzdelávania
v kalendárnych rokoch 2005 a 2006 podľa vysokých škôl *) </t>
  </si>
  <si>
    <t>Spolu - štátne VŠ</t>
  </si>
  <si>
    <t>Len občania SR. Každý občan je v jednotlivých tabuľkách zohľadnený len raz, bez zohľadnenia počtu podaných prihlášok, či počtu študijných programov, na ktoré sa zapísal.</t>
  </si>
  <si>
    <t>Denná 
forma štúdia 
2006/07</t>
  </si>
  <si>
    <t>Externá 
forma štúdia 
2006/07</t>
  </si>
  <si>
    <t>Počet 
študentov 
2006/07 
spolu</t>
  </si>
  <si>
    <t>Počet zapísaných *)</t>
  </si>
  <si>
    <t>Počet 
prijatých</t>
  </si>
  <si>
    <t>Počet 
prihlášok</t>
  </si>
  <si>
    <t>Pomer počtu zapísaných k plánovanému počtu</t>
  </si>
  <si>
    <t>Pomer počtu zapísaných k počtu prijatých</t>
  </si>
  <si>
    <t>vek</t>
  </si>
  <si>
    <t>počet</t>
  </si>
  <si>
    <t>externá</t>
  </si>
  <si>
    <t>denná</t>
  </si>
  <si>
    <t>prijatí</t>
  </si>
  <si>
    <t>zapísaní</t>
  </si>
  <si>
    <t>UK Bratislava</t>
  </si>
  <si>
    <t>Evanjelická bohoslovecká fakulta</t>
  </si>
  <si>
    <t>Fakulta matematiky, fyziky a informatiky</t>
  </si>
  <si>
    <t>Prírodovedecká fakulta</t>
  </si>
  <si>
    <t>Fakulta managementu</t>
  </si>
  <si>
    <t>Lekárska fakulta</t>
  </si>
  <si>
    <t xml:space="preserve"> *) Niektoré vysoké školy umožňujú študentom neprijatým na dennú formu štúdia za splnenia istých podmienok sa zapísať na externé štúdium, preto počet prijatých môže napríklad prevyšovať počet prihlášok. Počty zohľadňujú počet rôznych fyzických osôb v danej skupine. Napríklad, ak bol uchádač prijatý na dve fakulty tej istej vysokej škole, v celkovom počte prijatých za vysokú školu je započítaný len raz.</t>
  </si>
  <si>
    <t>skôr</t>
  </si>
  <si>
    <t>Prihlášok</t>
  </si>
  <si>
    <t>Prijatých osôb</t>
  </si>
  <si>
    <t>Jesseniova lekárska fakulta</t>
  </si>
  <si>
    <t>Farmaceutická fakulta</t>
  </si>
  <si>
    <t>Právnická fakulta</t>
  </si>
  <si>
    <t xml:space="preserve">Filozofická fakulta </t>
  </si>
  <si>
    <t>Fakulta sociálnych a ekonomických vied</t>
  </si>
  <si>
    <t>Pedagogická fakulta</t>
  </si>
  <si>
    <t>Fakulta telesnej výchovy a športu</t>
  </si>
  <si>
    <t>SPOLU</t>
  </si>
  <si>
    <t>UPJŠ Košice</t>
  </si>
  <si>
    <t>Fakulta verejnej správy</t>
  </si>
  <si>
    <t>PU Prešov</t>
  </si>
  <si>
    <t>Pravoslávna bohoslovecká fakulta</t>
  </si>
  <si>
    <t>Fakulta zdravotníctva</t>
  </si>
  <si>
    <t>Filozofická fakulta</t>
  </si>
  <si>
    <t>Fakulta humanitných a prírodovedných vied</t>
  </si>
  <si>
    <t>Fakulta športu</t>
  </si>
  <si>
    <t>Fakulta manažmentu</t>
  </si>
  <si>
    <t>UCM Trnava</t>
  </si>
  <si>
    <t>Fakulta prírodných vied</t>
  </si>
  <si>
    <t>Fakulta masmediálnej komunikácie</t>
  </si>
  <si>
    <t>UVL Košice</t>
  </si>
  <si>
    <t>UKF Nitra</t>
  </si>
  <si>
    <t>Fakulta sociálnych vied a zdravotníctva</t>
  </si>
  <si>
    <t>Fakulta stredoeurópskych štúdií</t>
  </si>
  <si>
    <t>UMB B.Bystrica</t>
  </si>
  <si>
    <t xml:space="preserve">Ekonomická fakulta </t>
  </si>
  <si>
    <t>Filologická fakulta</t>
  </si>
  <si>
    <t>Fakulta humanitných vied</t>
  </si>
  <si>
    <t>TvU Trnava</t>
  </si>
  <si>
    <t>Teologická fakulta</t>
  </si>
  <si>
    <t>Fakulta zdravotníctva a sociálnej práce</t>
  </si>
  <si>
    <t>STU Bratislava</t>
  </si>
  <si>
    <t>Strojnícka fakulta</t>
  </si>
  <si>
    <t xml:space="preserve">Stavebná fakulta </t>
  </si>
  <si>
    <t>Fakulta elektrotechniky a informatiky</t>
  </si>
  <si>
    <t>Fakulta architektúry</t>
  </si>
  <si>
    <t>TU Košice</t>
  </si>
  <si>
    <t>Fakulta výrobných technológií</t>
  </si>
  <si>
    <t>Hutnícka fakulta</t>
  </si>
  <si>
    <t>Stavebná fakulta</t>
  </si>
  <si>
    <t>Fakulta umení</t>
  </si>
  <si>
    <t>ŽU Žilina</t>
  </si>
  <si>
    <t>Elektrotechnická fakulta</t>
  </si>
  <si>
    <t>Fakulta riadenia a informatiky</t>
  </si>
  <si>
    <t>Fakulta špeciálneho inžinierstva</t>
  </si>
  <si>
    <t>TUAD Trenčín</t>
  </si>
  <si>
    <t>Fakulta špeciálnej techniky</t>
  </si>
  <si>
    <t>Fakulta mechatroniky</t>
  </si>
  <si>
    <t>Fakulta priemyselnej technológie</t>
  </si>
  <si>
    <t>Fakulta sociálno-ekonomických vzťahov</t>
  </si>
  <si>
    <t>EU Bratislava</t>
  </si>
  <si>
    <t>Fakulta podnikového manažmentu</t>
  </si>
  <si>
    <t xml:space="preserve">Obchodná fakulta </t>
  </si>
  <si>
    <t>Fakulta hospodárskej informatiky</t>
  </si>
  <si>
    <t>Podnikovohospodárska fakulta</t>
  </si>
  <si>
    <t xml:space="preserve">Národohospodárska fakulta  </t>
  </si>
  <si>
    <t>Fakulta medzinárodných vzťahov</t>
  </si>
  <si>
    <t>SPU Nitra</t>
  </si>
  <si>
    <t>Fakulta biotechnológií a potravinárstva</t>
  </si>
  <si>
    <t>Fakulta ekonomiky a manažmentu</t>
  </si>
  <si>
    <t>Fakulta agrobiológie a potravinových zdrojov</t>
  </si>
  <si>
    <t>Mechanizačná fakulta</t>
  </si>
  <si>
    <t>Fakulta záhradníctva a krajinného inžinierstva</t>
  </si>
  <si>
    <t>TU Zvolen</t>
  </si>
  <si>
    <t>Lesnícka fakulta</t>
  </si>
  <si>
    <t>Drevárska fakulta</t>
  </si>
  <si>
    <t>Fakulta ekológie a environmentalistiky</t>
  </si>
  <si>
    <t>VŠMU Bratislava</t>
  </si>
  <si>
    <t>Filmová a televizná fakulta</t>
  </si>
  <si>
    <t>Divadelná fakulta</t>
  </si>
  <si>
    <t>Hudobná a tanečná fakulta</t>
  </si>
  <si>
    <t>VŠVU Bratislava</t>
  </si>
  <si>
    <t>AU B.Bystrica</t>
  </si>
  <si>
    <t>Fakulta dramatických umení</t>
  </si>
  <si>
    <t>Fakulta múzických umení</t>
  </si>
  <si>
    <t>Fakulta výtvarných umení</t>
  </si>
  <si>
    <t>KU Ružomberok</t>
  </si>
  <si>
    <t>UJS Komárno</t>
  </si>
  <si>
    <t>Fakulta reformovanej teológie</t>
  </si>
  <si>
    <t>VŠM Trenčín</t>
  </si>
  <si>
    <t>VŠZSP Bratislava</t>
  </si>
  <si>
    <t>VŠEMVS Bratislava</t>
  </si>
  <si>
    <t>BVŠP Bratislava</t>
  </si>
  <si>
    <t>Spolu - SR</t>
  </si>
  <si>
    <t>Vysoká škola</t>
  </si>
  <si>
    <t>Spolu</t>
  </si>
  <si>
    <t>Vysoká škola, fakulta</t>
  </si>
  <si>
    <t>Počet zúčastnených na prijímacom konaní</t>
  </si>
  <si>
    <t>Pomer počtu zúčastnených na prijímacom konaní k počtu prijatých</t>
  </si>
  <si>
    <t>UMB Banská Bystrica</t>
  </si>
  <si>
    <t>TVU Trnava</t>
  </si>
  <si>
    <t>Denná forma</t>
  </si>
  <si>
    <t>prijatých</t>
  </si>
  <si>
    <t>% prijatých</t>
  </si>
  <si>
    <t>zapísaných</t>
  </si>
  <si>
    <t>% zapísaných</t>
  </si>
  <si>
    <t>Externá forma</t>
  </si>
  <si>
    <t xml:space="preserve"> do 20</t>
  </si>
  <si>
    <t>21-25</t>
  </si>
  <si>
    <t>26-30</t>
  </si>
  <si>
    <t>31-35</t>
  </si>
  <si>
    <t>36-40</t>
  </si>
  <si>
    <t>41-45</t>
  </si>
  <si>
    <t>46-50</t>
  </si>
  <si>
    <t>51-55</t>
  </si>
  <si>
    <t>56-60</t>
  </si>
  <si>
    <t>61 a viac</t>
  </si>
  <si>
    <t>AU Banská Bystrica</t>
  </si>
  <si>
    <t>denná forma</t>
  </si>
  <si>
    <t>% prijatých z prihlásených</t>
  </si>
  <si>
    <t>% zapísaných
 z prihlásených</t>
  </si>
  <si>
    <t>externá forma</t>
  </si>
  <si>
    <t>obe formy</t>
  </si>
  <si>
    <t>prihlásení</t>
  </si>
  <si>
    <t>% zapísaných
 z prijatých</t>
  </si>
  <si>
    <t>Plánovaný počet prijatých</t>
  </si>
  <si>
    <t>*) V prípade dennej formy sú uvedení len študenti slovenského občianstva. Za absolventa sa považuje ten, kto v danom roku získal príslušný vysokoškolský diplom.</t>
  </si>
  <si>
    <t xml:space="preserve"> **) Ide o študijné programy, ktoré nie sú uskutočňované na žiadnej z fakúlt vysokej školy, ale na úrovni vysokej školy.</t>
  </si>
  <si>
    <t>Spolu - verejné VŠ</t>
  </si>
  <si>
    <t>Spolu - súkromné VŠ</t>
  </si>
  <si>
    <t xml:space="preserve">  x - nie je možné určiť</t>
  </si>
  <si>
    <t>Denná 
forma štúdia 
2005/06</t>
  </si>
  <si>
    <t>Externá 
forma štúdia 
2005/06</t>
  </si>
  <si>
    <t>Počet 
študentov 
2005/06 
spolu</t>
  </si>
  <si>
    <t>VŠ v Sládkovičove</t>
  </si>
  <si>
    <t>VŠMP ISMS v Prešove</t>
  </si>
  <si>
    <t>Lôžková kapacita študentských domovov k 31.12.2006</t>
  </si>
  <si>
    <t>Počet zmluvných miest na ubytovanie študentov k 31.12.2006</t>
  </si>
  <si>
    <t>Počet miest na ubytovanie študentov k 31.12.2006 spolu</t>
  </si>
  <si>
    <t>Počet nevybavených žiadostí o ubytovanie v roku 2006</t>
  </si>
  <si>
    <t>Denná
forma štúdia 
2005/2006</t>
  </si>
  <si>
    <t>Externá 
forma štúdia
2005/2006</t>
  </si>
  <si>
    <t>Počet 
doktorandov 
2005/2006 
spolu</t>
  </si>
  <si>
    <t xml:space="preserve"> Zdroj: UIPŠ</t>
  </si>
  <si>
    <t>neznámy</t>
  </si>
  <si>
    <t>spolu</t>
  </si>
  <si>
    <t>rok maturity</t>
  </si>
  <si>
    <t>%</t>
  </si>
  <si>
    <t>SOU</t>
  </si>
  <si>
    <t xml:space="preserve">Úplné stredoškolské vzdelanie získané na </t>
  </si>
  <si>
    <t>SOŠ, ZSŠ, konzervatóriu</t>
  </si>
  <si>
    <t>gymnáziu</t>
  </si>
  <si>
    <t>Novoprijatí na 
dennú 
formu štúdia 
2005/2006</t>
  </si>
  <si>
    <t>Novoprijatí na 
externú 
formu štúdia 
2005/2006</t>
  </si>
  <si>
    <t>Počet 
absolventov 
dennej
formy štúdia
v kalendárnom 
roku 2005</t>
  </si>
  <si>
    <t>Počet 
absolventov 
externej
formy štúdia
v kalendárnom 
roku 2005</t>
  </si>
  <si>
    <t>Počet 
absolventov 
v kalendárnom 
roku 2005 
spolu</t>
  </si>
  <si>
    <t>Zdroj: UIPŠ</t>
  </si>
  <si>
    <t>Gréckokatolícka teologická  fakulta</t>
  </si>
  <si>
    <t>Letecká fakulta</t>
  </si>
  <si>
    <t>Novoprijatí  
spolu
2005/06</t>
  </si>
  <si>
    <t>Novoprijatí
spolu
2005/2006</t>
  </si>
  <si>
    <t>forma</t>
  </si>
  <si>
    <t xml:space="preserve"> *) Údaj o počte zapísaných sa môže líšiť od údajov v tabuľke č. 2a, pretože táto tabuľka neobsahuje počet študentov k 31. 10., ale výsledky prijímacieho konania ako takého. Ak sa niekto zapísal na viacerých fakultách, je viackrát zohľadnený aj v počte zapísaných. Niektoré vysoké školy umožňujú študentom neprijatým na dennú formu štúdia za splnenia istých podmienok sa zapísať na externé štúdium, preto počet prijatých môže napríklad prevyšovať počet prihlášok.</t>
  </si>
  <si>
    <t>uchádzačov</t>
  </si>
  <si>
    <t>% uchádzačov</t>
  </si>
  <si>
    <t>Denná a externá forma spolu</t>
  </si>
  <si>
    <t>Prijatí</t>
  </si>
  <si>
    <t>Zápisov</t>
  </si>
  <si>
    <t>VŠZSP Bratislava **)</t>
  </si>
  <si>
    <t>Prihlásených osôb</t>
  </si>
  <si>
    <t>Zapísaných osôb</t>
  </si>
  <si>
    <t>Lôžková kapacita študentských domovov k 31.12.2005</t>
  </si>
  <si>
    <t>Počet zmluvných miest na ubytovanie študentov k 31.12.2005</t>
  </si>
  <si>
    <t>Počet miest na ubytovanie študentov k 31.12.2005 spolu</t>
  </si>
  <si>
    <t>Počet nevybavených žiadostí o ubytovanie v roku 2005</t>
  </si>
  <si>
    <t>Fakulta enviromentálnej a výrobnej techniky</t>
  </si>
  <si>
    <t>Tabuľka č. 3a: Počty absolventov prvého stupňa vysokoškolského vzdelávania
v kalendárnych rokoch 2005 a 2006 podľa vysokých škôl *)</t>
  </si>
  <si>
    <t>*) Za absolventa sa považuje ten, kto v danom roku získal diplom; údaje sa týkajú len občanov SR.</t>
  </si>
  <si>
    <t>Počet 
absolventov 
dennej
formy štúdia
v kalendárnom 
roku 2006</t>
  </si>
  <si>
    <t>Počet 
absolventov 
externej
formy štúdia
v kalendárnom 
roku 2006</t>
  </si>
  <si>
    <t>Počet 
absolventov 
v kalendárnom 
roku 2006 
spolu</t>
  </si>
  <si>
    <t>Tabuľka č. 1a: Počet študentov v prvom stupni  vysokoškolského vzdelávania
v akademických rokoch  2005/2006 a 2006/2007 podľa vysokých škôl *)</t>
  </si>
  <si>
    <t>Spolu SR</t>
  </si>
  <si>
    <t>Tabuľka č. 1b: Počet študentov v druhom stupni a v spojenom prvom a druhom stupni vysokoškolského vzdelávania
v akademických rokoch  2005/2006 a 2006/2007 podľa vysokých škôl *)</t>
  </si>
  <si>
    <t>Tabuľka č. 1c: Počet študentov v treťom stupni vysokoškolského vzdelávania
v akademických rokoch  2005/2006 a 2006/2007 podľa vysokých škôl *)</t>
  </si>
  <si>
    <t>Spolu  SR</t>
  </si>
  <si>
    <t>Materiálovotechnologická fakulta</t>
  </si>
  <si>
    <t xml:space="preserve">Fakulta ošetrovateľstva sv. Ladislava </t>
  </si>
  <si>
    <t>Fakulta práva</t>
  </si>
  <si>
    <t>Fakulta ekonómie a podnikania</t>
  </si>
  <si>
    <t>Fakulta práva Janka Jesenského</t>
  </si>
  <si>
    <t xml:space="preserve">Fakulta sociálnych štúdií </t>
  </si>
  <si>
    <t>SEVŠ v Skalici</t>
  </si>
  <si>
    <t>DTI v Dubnici nad Váhom</t>
  </si>
  <si>
    <t>BISLA v Bratislave</t>
  </si>
  <si>
    <t>VŠBM v Košiciach</t>
  </si>
  <si>
    <t>Zdroj: ÚIPŠ</t>
  </si>
  <si>
    <t>Tabuľka č. 5: Počet uchádzačov a prijatých na študijné programy prvého stupňa a študijné programy spojeného prvého a druhého stupňa vysokoškolského vzdelávania
 na akademický rok 2006/2007 podľa fakúlt - fyzické osoby *)</t>
  </si>
  <si>
    <t>Tabuľka č. 6: Veková štruktúra uchádzačov a zapísaných na študijné programy prvého stupňa a spojeného prvého a druhého stupňa vysokoškolského vzdelávania na akademický rok 2006/2007</t>
  </si>
  <si>
    <t>Tabuľka č. 7: Uchádzači o vysokoškolské štúdium v akademickom roku 2006/2007 podľa roku maturity *)</t>
  </si>
  <si>
    <t>% maturujúcich
 v roku 2006</t>
  </si>
  <si>
    <t>*) Len občania SR. V prípade osôb každý občan je v jednotlivých tabuľkách zohľadnený len raz, bez zohľadnenia počtu podaných prihlášok, či počtu študijných programov, na ktoré sa zapísal.</t>
  </si>
  <si>
    <t>*) V prípade dennej formy štúdia sú uvedení len študenti slovenského občianstva; stav k 31. 10. 2005 a 2006.</t>
  </si>
  <si>
    <t>Tabuľka č. 2a: Počet novoprijatých študentov do prvého stupňa a do spojeného prvého a druhého stupňa vysokoškolského vzdelávania
v akademických rokoch  2005/2006 a 2006/2007 podľa vysokých škôl *)</t>
  </si>
  <si>
    <t>*) V prípade dennej formy štúdia sú uvedení len študenti slovenského občianstva; stav k 31.10. 2005 a 2006.</t>
  </si>
  <si>
    <t xml:space="preserve">Zdroj: ÚIPŠ </t>
  </si>
  <si>
    <t>Spolu denná a exter.</t>
  </si>
  <si>
    <t>Rímskokatolícka cyrilometodská bohoslov. fakulta</t>
  </si>
  <si>
    <t>Študijné programy uskutočňované VŠ **)</t>
  </si>
  <si>
    <t>Fakulta politických vied a medzinár. vzťahov</t>
  </si>
  <si>
    <t>Fakulta baníctva,ekológie, riadenia a geotechnol.</t>
  </si>
  <si>
    <t>Fakulta prevádzky a ekon. dopravy a spojov</t>
  </si>
  <si>
    <t>Fakulta agrobiológie a potravin. zdrojov</t>
  </si>
  <si>
    <t>Fakulta záhradníctva a krajinného inž.</t>
  </si>
  <si>
    <t>Fakulta európskych štúdií a region. rozvoja</t>
  </si>
  <si>
    <t>Fak. misijnej práce a tropického zdrav. J.Pavla II.</t>
  </si>
  <si>
    <t>Fakulta informatiky a informačných technol.</t>
  </si>
  <si>
    <t>Fakulta chemickej a potravinárskej technol.</t>
  </si>
  <si>
    <t>Rímskokatolícka cyrilometodská bohosl. fak.</t>
  </si>
  <si>
    <t>Fakulta baníctva,ekológie, riadenia a geotechn.</t>
  </si>
  <si>
    <t>Fakulta európskych štúdií a region.rozvoja</t>
  </si>
  <si>
    <t>Fakulta misij.práce a tropic.zdravot. J.Pavla II.</t>
  </si>
  <si>
    <t>Tabuľka č. 2c: Počet novoprijatých študentov do tretieho stupňa vysokoškolského vzdelávania v akademických rokoch 2005/2006 a 2006/2007 podľa vysokých škôl *)</t>
  </si>
  <si>
    <t>Novoprijatí-denná 
forma štúdia 
1. st.2005/06</t>
  </si>
  <si>
    <t>Novoprijatí-externá
forma štúdia 
1. st. 2005/06</t>
  </si>
  <si>
    <t>Novoprijatí-denná 
forma-spojený 
1. a 2. st. 
2005/06</t>
  </si>
  <si>
    <t>Novoprijatí-externá
forma-spojený
1. a 2. st. 2005/06</t>
  </si>
  <si>
    <t>Novoprijatí-denná
forma štúdia 
1. st. 2006/07</t>
  </si>
  <si>
    <t>Novoprijatí-denná 
forma-spojený 
1. a 2. st. 2006/07</t>
  </si>
  <si>
    <t>Novoprijatí-externá
forma-spojený
1. a 2. st. 2006/07</t>
  </si>
  <si>
    <t>**) Ostatné súkromné vysoké školy neposkytujú vysokoškolské vzdelávanie tretieho stupňa.</t>
  </si>
  <si>
    <t>*) Počet novoprijatých na študijné programy druhého stupňa v akademickom roku 2005/2006 je stav k 31. 10. 2005 podľa podkladov od jednotlivých vysokých škôl k financovaniu.</t>
  </si>
  <si>
    <t>**) Ostatné súkromné vysoké školy neuskutočňujú v týchto akademických rokoch študijné programy tretieho stupňa.</t>
  </si>
  <si>
    <t>Rozdiel
2006 a 2005 
denná
forma štúdia</t>
  </si>
  <si>
    <t>Rozdiel
2006 a 2005
externá
forma štúdia</t>
  </si>
  <si>
    <t>Rozdiel 
2006 a 2005 
spolu</t>
  </si>
  <si>
    <t>V roku 2006 mala v externej forme štúdia v študijných programoch tretieho stupňa 17 absolventov aj súkromná vysoký škola - Vysoká škola zdravotníctva a sociálnej práce sv. Alžbety v Bratislave, n. o.</t>
  </si>
  <si>
    <t>Tabuľka č. 4: Počty uchádzačov a prijatých na študijné programy prvého stupňa a spojeného prvého a druhého stupňa vysokoškolského vzdelávania 
na akademický rok 2006/2007 podľa fakúlt</t>
  </si>
  <si>
    <t>Novoprijatí  
spolu
2006/07</t>
  </si>
  <si>
    <t>Počet učiteľov</t>
  </si>
  <si>
    <t>merná jednotka</t>
  </si>
  <si>
    <t>osoby</t>
  </si>
  <si>
    <t xml:space="preserve">KU Ružomberok </t>
  </si>
  <si>
    <t>Priemerný plat učiteľov</t>
  </si>
  <si>
    <t>z toho:</t>
  </si>
  <si>
    <t>Počet profesorov</t>
  </si>
  <si>
    <t>Priemerný plat profesorov</t>
  </si>
  <si>
    <t>Priemerný plat docentov</t>
  </si>
  <si>
    <t xml:space="preserve">Počet  odborných asistentov </t>
  </si>
  <si>
    <t>Priemerný plat odborných asistentov</t>
  </si>
  <si>
    <t xml:space="preserve">Počet  asistentov </t>
  </si>
  <si>
    <t>Priemerný plat  asistentov</t>
  </si>
  <si>
    <t>Počet  lektorov</t>
  </si>
  <si>
    <t>Priemerný plat  lektorov</t>
  </si>
  <si>
    <t>Sk</t>
  </si>
  <si>
    <t xml:space="preserve">Počet docentov </t>
  </si>
  <si>
    <t xml:space="preserve"> Počet zamestnancov je vyjadrený ako priemerný evidenčný prepočítaný počet zamestnacov za rok. Ukazovateľ priemerný plat predstavuje priemerný ročný plat.</t>
  </si>
  <si>
    <t xml:space="preserve"> </t>
  </si>
  <si>
    <t>Tabuľka č. 9: Počty a priemerné platy vysokoškolských učiteľov verejných vysokých škôl v roku 2006</t>
  </si>
  <si>
    <t>Dosiahnutý vek</t>
  </si>
  <si>
    <t>profesori</t>
  </si>
  <si>
    <t>docenti</t>
  </si>
  <si>
    <t>odborní asistenti</t>
  </si>
  <si>
    <t>menej ako 25</t>
  </si>
  <si>
    <t>25-29</t>
  </si>
  <si>
    <t>30-34</t>
  </si>
  <si>
    <t>35-39</t>
  </si>
  <si>
    <t>40-44</t>
  </si>
  <si>
    <t>45-49</t>
  </si>
  <si>
    <t>50-54</t>
  </si>
  <si>
    <t>55-59</t>
  </si>
  <si>
    <t>60-64</t>
  </si>
  <si>
    <t>65 a viac</t>
  </si>
  <si>
    <t xml:space="preserve">počet </t>
  </si>
  <si>
    <t>% podiel</t>
  </si>
  <si>
    <t>Tabuľka č. 10: Veková štruktúra učiteľov verejných vysokých škôl,
 podľa stavu k 31. 10. 2006</t>
  </si>
  <si>
    <t>Počet nových projektov, 
ktoré sa uchádzali o podporu</t>
  </si>
  <si>
    <t xml:space="preserve">Počet nových  projektov, 
ktoré obdržali podporu   </t>
  </si>
  <si>
    <t xml:space="preserve">Počet podporovaných pokračujúcich    projektov </t>
  </si>
  <si>
    <t xml:space="preserve">Celkový počet podporovaných projektov   </t>
  </si>
  <si>
    <t xml:space="preserve">Podiel vysokej školy na celkovom počte podporovaných projektov 
(v %) </t>
  </si>
  <si>
    <t>Objem finančnej podpory na projekty - bežné výdavky 
(v tis. Sk)</t>
  </si>
  <si>
    <t>Objem finančnej podpory na projekty - kapitálové výdavky 
(v tis. Sk)</t>
  </si>
  <si>
    <t>Celkový objem finančnej podpory na projekty
(v tis. Sk)</t>
  </si>
  <si>
    <t xml:space="preserve">Podiel vysokej školy na celkovom objeme pridelených finančných prostriedkov 
(v %) </t>
  </si>
  <si>
    <t>Názov komisie</t>
  </si>
  <si>
    <t>Celkový počet podporovaných projektov</t>
  </si>
  <si>
    <t xml:space="preserve">Podiel komisie na celkovom počte podporovaných projektov 
(v %) </t>
  </si>
  <si>
    <t>Objem finančnej podpory na projekty - bežné výdavky 
(tis. Sk)</t>
  </si>
  <si>
    <t>Objem finančnej podpory na projekty - kapitálové výdavky 
(tis. Sk)</t>
  </si>
  <si>
    <t>Celkový objem finančnej podpory na projekty 
(v tis. Sk)</t>
  </si>
  <si>
    <t>Podiel komisie na celkovom objeme pridelených finančných prostriedkov 
(v %)</t>
  </si>
  <si>
    <t>Komisia VEGA pre matematické vedy</t>
  </si>
  <si>
    <t>Komisia VEGA pre fyzikálne vedy</t>
  </si>
  <si>
    <t>Komisia VEGA pre vedy o Zemi a vesmíre</t>
  </si>
  <si>
    <t>Komisia VEGA pre elektrotechniku a informatiku</t>
  </si>
  <si>
    <t>Komisia VEGA pre strojárstvo, hutníctvo a materiálové inžinierstvo</t>
  </si>
  <si>
    <t>Komisia VEGA pre stavebníctvo, architektúru, baníctvo a geotechniku</t>
  </si>
  <si>
    <t>Komisia VEGA pre lekárske a  farmaceutické vedy</t>
  </si>
  <si>
    <t>Komisia VEGA pre molekulovú a bunkovú biológiu</t>
  </si>
  <si>
    <t>Komisia VEGA pre biologické a ekologické vedy</t>
  </si>
  <si>
    <t>Komisia VEGA pre poľnohospodárske, lesnícke a veterinárne vedy</t>
  </si>
  <si>
    <t>Komisia VEGA pre chemické a chemickotechnologické vedy</t>
  </si>
  <si>
    <t>Komisia VEGA pre vedy o spoločnosti (filozofia, sociológia, politológia, teológia)</t>
  </si>
  <si>
    <t>Komisia VEGA pre o vedy človeku (psychológia, pedagogika, telesná výchova)</t>
  </si>
  <si>
    <t>Komisia VEGA pre vedy historické</t>
  </si>
  <si>
    <t>Komisia VEGA pre vedy o umení, estetiku a jazykovedu</t>
  </si>
  <si>
    <t>Komisia VEGA pre ekonomické a právne vedy</t>
  </si>
  <si>
    <t>Počet nových projektov, ktoré sa uchádzali o podporu</t>
  </si>
  <si>
    <t xml:space="preserve">Počet nových  projektov, ktoré obdržali podporu   </t>
  </si>
  <si>
    <t xml:space="preserve">Celkový počet podporovaných úloh 
štátnych programov 
VaV </t>
  </si>
  <si>
    <t xml:space="preserve">Podiel VŠ na celkovom počte podporovaných úloh 
štátnych programov VaV 
(v %) </t>
  </si>
  <si>
    <t>Celkový objem finančnej podpory na úlohy štátnych programov VaV
(v tis. Sk)</t>
  </si>
  <si>
    <t xml:space="preserve">Podiel VŠ na celkovom objeme poskytnutej účelovej podpory
(v %) </t>
  </si>
  <si>
    <r>
      <rPr>
        <sz val="12"/>
        <rFont val="Times New Roman"/>
        <family val="1"/>
      </rPr>
      <t>UPJŠ Košice</t>
    </r>
  </si>
  <si>
    <r>
      <rPr>
        <sz val="12"/>
        <rFont val="Times New Roman"/>
        <family val="1"/>
      </rPr>
      <t>PU Prešov</t>
    </r>
  </si>
  <si>
    <r>
      <rPr>
        <sz val="12"/>
        <rFont val="Times New Roman"/>
        <family val="1"/>
      </rPr>
      <t>UCM Trnava</t>
    </r>
  </si>
  <si>
    <r>
      <rPr>
        <sz val="12"/>
        <rFont val="Times New Roman"/>
        <family val="1"/>
      </rPr>
      <t>UVL Košice</t>
    </r>
  </si>
  <si>
    <r>
      <rPr>
        <sz val="12"/>
        <rFont val="Times New Roman"/>
        <family val="1"/>
      </rPr>
      <t>UKF Nitra</t>
    </r>
  </si>
  <si>
    <r>
      <rPr>
        <sz val="12"/>
        <rFont val="Times New Roman"/>
        <family val="1"/>
      </rPr>
      <t>UMB Banská Bystrica</t>
    </r>
  </si>
  <si>
    <r>
      <rPr>
        <sz val="12"/>
        <rFont val="Times New Roman"/>
        <family val="1"/>
      </rPr>
      <t>TVU Trnava</t>
    </r>
  </si>
  <si>
    <r>
      <rPr>
        <sz val="12"/>
        <rFont val="Times New Roman"/>
        <family val="1"/>
      </rPr>
      <t>ŽU Žilina</t>
    </r>
  </si>
  <si>
    <r>
      <rPr>
        <sz val="12"/>
        <rFont val="Times New Roman"/>
        <family val="1"/>
      </rPr>
      <t>TUAD Trenčín</t>
    </r>
  </si>
  <si>
    <r>
      <rPr>
        <sz val="12"/>
        <rFont val="Times New Roman"/>
        <family val="1"/>
      </rPr>
      <t>SPU Nitra</t>
    </r>
  </si>
  <si>
    <r>
      <rPr>
        <sz val="12"/>
        <rFont val="Times New Roman"/>
        <family val="1"/>
      </rPr>
      <t>AU Banská Bystrica</t>
    </r>
  </si>
  <si>
    <r>
      <rPr>
        <sz val="12"/>
        <rFont val="Times New Roman"/>
        <family val="1"/>
      </rPr>
      <t>KU Ružomberok</t>
    </r>
  </si>
  <si>
    <r>
      <rPr>
        <sz val="12"/>
        <rFont val="Times New Roman"/>
        <family val="1"/>
      </rPr>
      <t>UJS Komárno</t>
    </r>
  </si>
  <si>
    <t>Číslo a názov štátneho programu</t>
  </si>
  <si>
    <t>Účelová podpora na riešenie úloh štátnych programov VaV vysokými školami 
(v tis. Sk)</t>
  </si>
  <si>
    <t>Štátna účelová podpora na riešenie úloh štátnych programov VaV celkom                                                      (v tis. Sk)</t>
  </si>
  <si>
    <t xml:space="preserve">Podiel sektora vysokých škôl na celkovom objeme pridelených finančných prostriedkov 
(v %) </t>
  </si>
  <si>
    <t>1. Budovanie informačnej spoločnosti</t>
  </si>
  <si>
    <t>2. Kvalita života - zdravie, výživa a vzdelávanie</t>
  </si>
  <si>
    <t>3. Rozvoj progresívnych technológií pre výkonnú ekonomiku</t>
  </si>
  <si>
    <t xml:space="preserve">4. Využívanie domácich surovín a zdrojov </t>
  </si>
  <si>
    <t>5. Uplatnenie progresívnych princípov výroby a premien energie</t>
  </si>
  <si>
    <t>7. Rozvoj osobnosti a talentu mladých zamestnancov a doktorandov výskumu a vývoja (MZDVV) do 35 rokov</t>
  </si>
  <si>
    <t>8. Komplexné riešenie podpory a efektívneho využívania infraštruktúry výskumu a vývoja</t>
  </si>
  <si>
    <t>9. Aktuálne otázky rozvoja spoločnosti</t>
  </si>
  <si>
    <t>Celkový objem finančnej podpory 
na projekty
(v tis. Sk)</t>
  </si>
  <si>
    <t xml:space="preserve">Podiel vysokej školy 
na celkovom objeme pridelených finančných prostriedkov 
(v %) </t>
  </si>
  <si>
    <t xml:space="preserve">Celkový počet  podporovaných 
výskumných projektov   </t>
  </si>
  <si>
    <t xml:space="preserve">Podiel vysokej školy 
na celkovom počte podporovaných projektov 
(v %) </t>
  </si>
  <si>
    <t>Celkový objem finančnej podpory zo zahraničia na projekty
(v tis. Sk)</t>
  </si>
  <si>
    <t xml:space="preserve">Podiel vysokej školy 
na celkovom objeme pridelených finančných prostriedkov zo zahraničia
(v %) </t>
  </si>
  <si>
    <t>Zdroj: Verejné vysoké školy</t>
  </si>
  <si>
    <r>
      <rPr>
        <b/>
        <sz val="12"/>
        <rFont val="Times New Roman"/>
        <family val="1"/>
      </rPr>
      <t>Vysoká škola</t>
    </r>
  </si>
  <si>
    <r>
      <rPr>
        <b/>
        <sz val="12"/>
        <rFont val="Times New Roman"/>
        <family val="1"/>
      </rPr>
      <t>Spolu</t>
    </r>
  </si>
  <si>
    <t>Tabuľka č. 11a: Počty výskumných projektov verejných vysokých škôl a objem finančných prostriedkov poskytnutých 
na ich riešenie agentúrou VEGA v roku 2006 podľa vysokých škôl</t>
  </si>
  <si>
    <t>Tabuľka č. 11b: Počty výskumných projektov verejných vysokých škôl podporovaných agentúrou VEGA a objemy finančných poskytnutých na ich riešenie agentúrou VEGA v roku 2006 podľa komisií VEGA</t>
  </si>
  <si>
    <t>Tabuľka č. 12: Počty výskumných projektov verejných vysokých škôl a objem finančných prostriedkov poskytnutých 
na ich riešenie agentúrou KEGA v roku 2006 podľa vysokých škôl</t>
  </si>
  <si>
    <t>Tabuľka č. 13: Počty výskumných projektov verejných vysokých škôl v oblasti aplikovaného výskumu a objem finančných prostriedkov poskytnutých ministerstvom na ich riešenie v roku 2006 podľa vysokých škôl</t>
  </si>
  <si>
    <t>Tabuľka č. 14: Počty projektov verejných vysokých škôl v oblasti medzinárodnej vedeckej a vedecko-technickej spolupráce a objem finančných prostriedkov poskytnutých ministerstvom na ich riešenie v roku 2006 podľa vysokých škôl</t>
  </si>
  <si>
    <t>Tabuľka č. 15a: Počty výskumných projektov verejných vysokých škôl a objem finančných prostriedkov poskytnutých na ich riešenie zo štátnych programov výskumu a vývoja v roku 2006 podľa vysokých škôl</t>
  </si>
  <si>
    <t>Tabuľka č. 15b: Podiel verejných vysokých škôl na získavaní finančných prostriedkov zo štátnych programov výskumu a vývoja  v roku 2006</t>
  </si>
  <si>
    <t>Tabuľka č. 17: Počty výskumných projektov verejných vysokých škôl a objem finančných prostriedkov získaných na ich riešenie zo zahraničia v roku 2006 podľa vysokých škôl</t>
  </si>
  <si>
    <t>Objem finančných prostriedkov z MŠ na sociálne štipendiá  v roku 2005</t>
  </si>
  <si>
    <t>Objem finančných prostriedkov vyplatených študentom na sociálne štipendiá  v roku 2005</t>
  </si>
  <si>
    <t>Počet poberateľov sociálnych štipendií k 31.12.2005</t>
  </si>
  <si>
    <t>Objem finančných prostriedkov poskytnutých z MŠ na sociálne štipendiá  v roku 2006</t>
  </si>
  <si>
    <t>Objem finančných prostriedkov vyplatených študentom na sociálne štipendiá  v roku 2006</t>
  </si>
  <si>
    <t>Počet poberateľov sociálnych štipendií k 31.12.2006</t>
  </si>
  <si>
    <t>Rozdiel v počte poberateľov sociálnych štipendií v roku 2006 a 2005</t>
  </si>
  <si>
    <t>Rozdiel objemu finančných prostriedkov vyplatených na sociálne štipendiá v roku 2006 a 2005</t>
  </si>
  <si>
    <t>Tabuľka č. 18: Počty poberateľov sociálnych štipendií a objemy finančných prostriedkov v rokoch 2005 a 2006</t>
  </si>
  <si>
    <t>skola</t>
  </si>
  <si>
    <t>(Všetko)</t>
  </si>
  <si>
    <t>stále aktíva</t>
  </si>
  <si>
    <t>dlhodobý nehmotný majetok</t>
  </si>
  <si>
    <t>software</t>
  </si>
  <si>
    <t>oceniteľné práva</t>
  </si>
  <si>
    <t>ostatný dlhodobý nehmotný majetok</t>
  </si>
  <si>
    <t>obstaranie dlhodobého nehmotného majetku</t>
  </si>
  <si>
    <t>poskytnuté preddavky na dlhodobý nehm. majetok</t>
  </si>
  <si>
    <t>dlhodobý nehmotný majetok Celkom</t>
  </si>
  <si>
    <t>dlhodobý hmotný majetok</t>
  </si>
  <si>
    <t>pozemky</t>
  </si>
  <si>
    <t>umelecké diela a zbierky</t>
  </si>
  <si>
    <t>obstaranie dlhodobého hmotného majetku</t>
  </si>
  <si>
    <t>stavby</t>
  </si>
  <si>
    <t>stroje, prístroje a zariadenia</t>
  </si>
  <si>
    <t>dopravné prostriedky</t>
  </si>
  <si>
    <t>pestovateľské celky trvalých porastov</t>
  </si>
  <si>
    <t>základné stádo a ťažné zvieratá</t>
  </si>
  <si>
    <t>drobný dlhodobý majetok</t>
  </si>
  <si>
    <t>ostatný dlhodobý hmotný majetok</t>
  </si>
  <si>
    <t>poskytnuté preddavky na dlhodobý hmotný majetok</t>
  </si>
  <si>
    <t>dlhodobý hmotný majetok Celkom</t>
  </si>
  <si>
    <t>finančné investície</t>
  </si>
  <si>
    <t>podielové cenné papiere a vklady v obchodných spoločnostiach s podstatným vplyvom</t>
  </si>
  <si>
    <t>finančné investície Celkom</t>
  </si>
  <si>
    <t>stále aktíva Celkom</t>
  </si>
  <si>
    <t>obežné aktíva</t>
  </si>
  <si>
    <t>zásoby</t>
  </si>
  <si>
    <t>materiál</t>
  </si>
  <si>
    <t>nedokončená výroba a polotovary</t>
  </si>
  <si>
    <t>výrobky</t>
  </si>
  <si>
    <t>zvieratá</t>
  </si>
  <si>
    <t>tovar</t>
  </si>
  <si>
    <t>poskytnuté prevádzkové preddavky</t>
  </si>
  <si>
    <t>zásoby Celkom</t>
  </si>
  <si>
    <t>dlhodobé pohľadávky</t>
  </si>
  <si>
    <t>pohľadávky z obchodného styku</t>
  </si>
  <si>
    <t>cenné papiere obstarané v primárnych emisiách neurčené na obchodovanie</t>
  </si>
  <si>
    <t>iné pohľadávky</t>
  </si>
  <si>
    <t>dlhodobé pohľadávky Celkom</t>
  </si>
  <si>
    <t>krátkodobé pohľadávky</t>
  </si>
  <si>
    <t>daňové pohľadávky</t>
  </si>
  <si>
    <t>dotácia a ostatné zúčtovanie zo ŠR</t>
  </si>
  <si>
    <t>pohľadávky voči učast. združení</t>
  </si>
  <si>
    <t>krátkodobé pohľadávky Celkom</t>
  </si>
  <si>
    <t xml:space="preserve">finančný majetok </t>
  </si>
  <si>
    <t>pokladnica</t>
  </si>
  <si>
    <t>bankové účty</t>
  </si>
  <si>
    <t>finančný majetok  Celkom</t>
  </si>
  <si>
    <t>obežné aktíva Celkom</t>
  </si>
  <si>
    <t>prechodné účty</t>
  </si>
  <si>
    <t>prechodné účty aktív</t>
  </si>
  <si>
    <t>náklady budúcich období</t>
  </si>
  <si>
    <t>príjmy budúcich období</t>
  </si>
  <si>
    <t>odhadné účty aktívne</t>
  </si>
  <si>
    <t>prechodné účty aktív Celkom</t>
  </si>
  <si>
    <t>prechodné účty Celkom</t>
  </si>
  <si>
    <t>Celkový súčet</t>
  </si>
  <si>
    <t>vlastné zdroje</t>
  </si>
  <si>
    <t>fondy organizácie</t>
  </si>
  <si>
    <t>základné imanie</t>
  </si>
  <si>
    <t>oceňovací rozdiel z precenenia majetku a záväzkov</t>
  </si>
  <si>
    <t>fondy účtovnej jednotky</t>
  </si>
  <si>
    <t>fondy organizácie Celkom</t>
  </si>
  <si>
    <t>výsledok hospodárenia</t>
  </si>
  <si>
    <t>výsledok hospodárenia v schvaľovaní</t>
  </si>
  <si>
    <t>nerozdelený zisk, neuhradená strata z minulých rokov</t>
  </si>
  <si>
    <t>účet ziskov a strát</t>
  </si>
  <si>
    <t>výsledok hospodárenia Celkom</t>
  </si>
  <si>
    <t>vlastné zdroje Celkom</t>
  </si>
  <si>
    <t>cudzie zdroje</t>
  </si>
  <si>
    <t>rezervy zákonné</t>
  </si>
  <si>
    <t>rezervy zákonné Celkom</t>
  </si>
  <si>
    <t>dlhodobé záväzky</t>
  </si>
  <si>
    <t>sociálny fond</t>
  </si>
  <si>
    <t>záväzky z prenájmu</t>
  </si>
  <si>
    <t>ostatné dlhodobé záväzky</t>
  </si>
  <si>
    <t>dlhodobé záväzky Celkom</t>
  </si>
  <si>
    <t>krátkodobé záväzky</t>
  </si>
  <si>
    <t>záväzky z obchodného styku</t>
  </si>
  <si>
    <t>záväzky voči zamestnancom</t>
  </si>
  <si>
    <t>záväzky voči účastníkom združení</t>
  </si>
  <si>
    <t>zúčtovanie s inštitúciami sociálneho zabezpečenia</t>
  </si>
  <si>
    <t>daňové záväzky</t>
  </si>
  <si>
    <t>záväzky fin. vzťahov k št. rozpočtu a miestnej samosprávy</t>
  </si>
  <si>
    <t>ostatné záväzky</t>
  </si>
  <si>
    <t>krátkodobé záväzky Celkom</t>
  </si>
  <si>
    <t>banková výpomoc</t>
  </si>
  <si>
    <t>dlhodobé bankové úvery</t>
  </si>
  <si>
    <t>bežné bankové úvery</t>
  </si>
  <si>
    <t>banková výpomoc Celkom</t>
  </si>
  <si>
    <t>cudzie zdroje Celkom</t>
  </si>
  <si>
    <t>prechodné účty pasív</t>
  </si>
  <si>
    <t>odhadné účty pasívne</t>
  </si>
  <si>
    <t>výdavky budúcich období</t>
  </si>
  <si>
    <t>výnosy budúcich období</t>
  </si>
  <si>
    <t>prechodné účty pasív Celkom</t>
  </si>
  <si>
    <t xml:space="preserve">Celkový súčet </t>
  </si>
  <si>
    <t>Číslo riadku</t>
  </si>
  <si>
    <t>Stav k 31. 12. 2005</t>
  </si>
  <si>
    <t>Stav k 31. 12. 2006</t>
  </si>
  <si>
    <t>Zvyšok prijatej kapitálovej dotácie používanej na kompenzáciu odpisov majetku z nej obstaraného</t>
  </si>
  <si>
    <t xml:space="preserve">Bežná dotácia na úlohy budúcich období </t>
  </si>
  <si>
    <t>Prostriedky zo zahraničných projektov na budúce aktivity</t>
  </si>
  <si>
    <t>Ostatné</t>
  </si>
  <si>
    <t>A</t>
  </si>
  <si>
    <t>B</t>
  </si>
  <si>
    <t>C</t>
  </si>
  <si>
    <t>D</t>
  </si>
  <si>
    <t>E = A+B+C+D</t>
  </si>
  <si>
    <t>F</t>
  </si>
  <si>
    <t>G</t>
  </si>
  <si>
    <t>H</t>
  </si>
  <si>
    <t>I</t>
  </si>
  <si>
    <t>J=F+G+H+I</t>
  </si>
  <si>
    <t>Účet</t>
  </si>
  <si>
    <t>Výnosy
hlavnej činnosti</t>
  </si>
  <si>
    <t>Výnosy podnikateľskej činnosti</t>
  </si>
  <si>
    <t>Výnosy spolu</t>
  </si>
  <si>
    <t>601 - Tržby za vlastné výrobky</t>
  </si>
  <si>
    <t>602 - Tržby z predaja služieb</t>
  </si>
  <si>
    <t>604 - Tržby za predaný tovar</t>
  </si>
  <si>
    <t>611 - Zmena stavu nedokončenej výroby</t>
  </si>
  <si>
    <t>612 - Zmena stavu zásob polotovarov</t>
  </si>
  <si>
    <t>613 - Zmena stavu zásob výrobkov</t>
  </si>
  <si>
    <t>614 - Zmena stavu zvierat</t>
  </si>
  <si>
    <t>621 - Aktivácia materiálu a tovaru</t>
  </si>
  <si>
    <t>622 - Aktivácia vnútroorganizačných služieb</t>
  </si>
  <si>
    <t>623 - Aktivácia dlhodobého nehmotného majetku</t>
  </si>
  <si>
    <t>624 - Aktivácia dlhodobého hmotného majetku</t>
  </si>
  <si>
    <t>641 - Zmluvné pokuty a úroky z omeškania</t>
  </si>
  <si>
    <t>642 - Ostatné pokuty a penále</t>
  </si>
  <si>
    <t>643 - Platby za odpísané pohľadávky</t>
  </si>
  <si>
    <t>644 - Úroky</t>
  </si>
  <si>
    <t>645 - Kurzové zisky</t>
  </si>
  <si>
    <t>649 - Iné ostatné výnosy</t>
  </si>
  <si>
    <t>651 - Tržby z predaja dlhodobého nehmotného a hmotného majetku</t>
  </si>
  <si>
    <t>652 - Výnosy z dlhodobých finančných investícií</t>
  </si>
  <si>
    <t>653 - Tržby z predaja cenných papierov a vkladov</t>
  </si>
  <si>
    <t>654 - Tržby z predaja materiálu</t>
  </si>
  <si>
    <t>655 - Výnosy z krátkodobého finančného majetku</t>
  </si>
  <si>
    <t>656 - Zúčtovanie zákonných rezerv</t>
  </si>
  <si>
    <t>657 - Výnosy z precenenia cenných papierov</t>
  </si>
  <si>
    <t>658 - výnosy z prenájmu majetku</t>
  </si>
  <si>
    <t>659 - Zúčtovanie zákonných opravných položiek</t>
  </si>
  <si>
    <t>661 - Prijaté príspevky od org.zložiek</t>
  </si>
  <si>
    <t xml:space="preserve">662 - Prijaté príspevky od iných organizácií </t>
  </si>
  <si>
    <t>663 - Prijaté príspevky od fyzických osôb</t>
  </si>
  <si>
    <t>664 - Prijaté členské príspevky</t>
  </si>
  <si>
    <t>665 - Príspevky z podielu zaplatenej dane</t>
  </si>
  <si>
    <t>691 - Prevádzkové dotácie</t>
  </si>
  <si>
    <t>Rok 2005</t>
  </si>
  <si>
    <t>Rok 2006</t>
  </si>
  <si>
    <t>Rozdiel 2006 a 2005</t>
  </si>
  <si>
    <t>658 - Výnosy z prenájmu majetku</t>
  </si>
  <si>
    <t>661 - Prijaté príspevky od organizačných zložiek</t>
  </si>
  <si>
    <t>691 - Dotácie na prevádzku</t>
  </si>
  <si>
    <t>Náklady
hlavnej činnosti</t>
  </si>
  <si>
    <t>Náklady podnikateľskej činnosti</t>
  </si>
  <si>
    <t>Náklady spolu</t>
  </si>
  <si>
    <t>501 - Spotreba materiálu</t>
  </si>
  <si>
    <t>502 - Spotreba energie</t>
  </si>
  <si>
    <t>503 - Spotreba ostatatných neskladovateľných dodávok</t>
  </si>
  <si>
    <t>504 - Predaný tovar</t>
  </si>
  <si>
    <t>511 - Opravy a udržiavanie</t>
  </si>
  <si>
    <t>512 - Cestovné</t>
  </si>
  <si>
    <t>513 - Náklady na reprezentáciu</t>
  </si>
  <si>
    <t>518 - Ostatné služby</t>
  </si>
  <si>
    <t>521 - Mzdové náklady</t>
  </si>
  <si>
    <t>524 - Zakonné sociálne poistenie</t>
  </si>
  <si>
    <t>525 - Ostatné sociálne poistenie</t>
  </si>
  <si>
    <t>527 - Zakonné sociálne náklady</t>
  </si>
  <si>
    <t xml:space="preserve">528 - Ostatné sociálne náklady </t>
  </si>
  <si>
    <t>531 - Cestná daň</t>
  </si>
  <si>
    <t>532 - Daň z nehnuteľností</t>
  </si>
  <si>
    <t>538 - Ostatné dane a poplatky</t>
  </si>
  <si>
    <t>541 - Zmluvné pokuty a úroky z omeškania</t>
  </si>
  <si>
    <t>542 - Ostatné pokuty a penále</t>
  </si>
  <si>
    <t>543 - Odpis nedobytnej pohľadávky</t>
  </si>
  <si>
    <t>544 - Úroky</t>
  </si>
  <si>
    <t>545 - Kurzové straty</t>
  </si>
  <si>
    <t>546 - Dary</t>
  </si>
  <si>
    <t>547 - Poskytnuté platobné zľavy</t>
  </si>
  <si>
    <t>548 - Manká a škody</t>
  </si>
  <si>
    <t>549 - Iné ostatné náklady</t>
  </si>
  <si>
    <t>551 - Odpisy nehmotného a hmotného investičného majetku</t>
  </si>
  <si>
    <t>552 - Zostatková cena predaného hmotného a nehmotného investičného majetku</t>
  </si>
  <si>
    <t>553 - Predané cenné papiere v cene obstarania</t>
  </si>
  <si>
    <t>554 - Predaný materiál</t>
  </si>
  <si>
    <t>556 - Tvorba zákonných rezerv</t>
  </si>
  <si>
    <t>557 - Náklady z precenenie cenných papierov</t>
  </si>
  <si>
    <t>559 - Tvorba zákonných opravných položiek</t>
  </si>
  <si>
    <t>561 - Poskytnuté príspevky org.zložkám</t>
  </si>
  <si>
    <t>562 - Poskytnuté príspevky iným účt.jednotkám</t>
  </si>
  <si>
    <t>563 - Poskytnuté príspevky fyzickým osobám</t>
  </si>
  <si>
    <t>591 - daň z príjmov</t>
  </si>
  <si>
    <t>595 - dodatočné odvody dane z príjmov</t>
  </si>
  <si>
    <t>541 - Zmluvné pokuty a penále</t>
  </si>
  <si>
    <t>543 - Odpísanie nevymožiteľnej pohľadávky</t>
  </si>
  <si>
    <t>551 - Odpisy dlhodobého nehmotného a hmotného majetku</t>
  </si>
  <si>
    <t>552 - Zostatková cena predaného nehmotného a hmotného majetku</t>
  </si>
  <si>
    <t>553 - Predané cenné papiere</t>
  </si>
  <si>
    <t>561 - Poskytnuté príspevky organizačným zložkám</t>
  </si>
  <si>
    <t>562 - Poskytnuté príspevky iným účtovným jednotkám</t>
  </si>
  <si>
    <t>591 - Daň z príjmov</t>
  </si>
  <si>
    <t>595 - Dodatočné odvody dane z príjmov</t>
  </si>
  <si>
    <t>Výnosy hlavnej činnosti</t>
  </si>
  <si>
    <t>Náklady hlavnej činnosti</t>
  </si>
  <si>
    <t>Hospodársky výsledok hlavnej činnosti</t>
  </si>
  <si>
    <t>Hospodársky výsledok podnikateľskej činnosti</t>
  </si>
  <si>
    <t>Hospodársky výsledok spolu</t>
  </si>
  <si>
    <t>UMB B. Bystrica</t>
  </si>
  <si>
    <t>AU B. Bystrica</t>
  </si>
  <si>
    <t>Tabuľka č. 19: Ubytovacie kapacity verejných vysokých škôl v rokoch 2005 a 2006</t>
  </si>
  <si>
    <t>Tabuľka č. 20a: Súhrnná súvaha za verejné vysoké školy k 31.12.2006 - časť aktíva</t>
  </si>
  <si>
    <t>Tabuľka č. 20b: Súhrnná súvaha za verejné vysoké školy k 31.12.2006 - časť pasíva</t>
  </si>
  <si>
    <t>Spolu - VVŠ</t>
  </si>
  <si>
    <r>
      <t xml:space="preserve">Tabuľka č. 22: Výnosy verejných vysokých škôl v roku 2006 
</t>
    </r>
    <r>
      <rPr>
        <b/>
        <sz val="12"/>
        <rFont val="Times New Roman"/>
        <family val="1"/>
      </rPr>
      <t>(v Sk)</t>
    </r>
  </si>
  <si>
    <r>
      <t xml:space="preserve">Tabuľka č. 23: Výnosy verejných vysokých škôl v rokoch 2005 a 2006 
</t>
    </r>
    <r>
      <rPr>
        <b/>
        <sz val="12"/>
        <rFont val="Times New Roman"/>
        <family val="1"/>
      </rPr>
      <t>(v Sk)</t>
    </r>
  </si>
  <si>
    <t>podiel</t>
  </si>
  <si>
    <r>
      <t xml:space="preserve">Tabuľka č. 24: Náklady verejných vysokých škôl v roku 2006 
</t>
    </r>
    <r>
      <rPr>
        <b/>
        <sz val="12"/>
        <rFont val="Times New Roman"/>
        <family val="1"/>
      </rPr>
      <t>(v Sk)</t>
    </r>
  </si>
  <si>
    <r>
      <t xml:space="preserve">Tabuľka č. 25: Náklady verejných vysokých škôl v rokoch 2005 a  2006 
</t>
    </r>
    <r>
      <rPr>
        <b/>
        <sz val="12"/>
        <rFont val="Times New Roman"/>
        <family val="1"/>
      </rPr>
      <t>(v Sk)</t>
    </r>
  </si>
  <si>
    <r>
      <t xml:space="preserve">Tabuľka č. 26: Výsledky hospodárenia verejných vysokých škôl v roku 2006 
</t>
    </r>
    <r>
      <rPr>
        <b/>
        <sz val="12"/>
        <rFont val="Times New Roman"/>
        <family val="1"/>
      </rPr>
      <t>(v Sk)</t>
    </r>
  </si>
  <si>
    <r>
      <t xml:space="preserve">Tabuľka č. 21: Štruktúra účtu </t>
    </r>
    <r>
      <rPr>
        <b/>
        <i/>
        <sz val="16"/>
        <rFont val="Times New Roman"/>
        <family val="1"/>
      </rPr>
      <t xml:space="preserve">384 - výnosy budúcich období </t>
    </r>
    <r>
      <rPr>
        <b/>
        <sz val="16"/>
        <rFont val="Times New Roman"/>
        <family val="1"/>
      </rPr>
      <t>v rokoch 2005 a 2006</t>
    </r>
  </si>
  <si>
    <r>
      <t xml:space="preserve">Tabuľka č. 27: Výnosy verejných vysokých škôl v roku 2006 v oblasti sociálnej podpory študentov         
</t>
    </r>
    <r>
      <rPr>
        <b/>
        <sz val="12"/>
        <rFont val="Times New Roman"/>
        <family val="1"/>
      </rPr>
      <t>(v tis. Sk)</t>
    </r>
  </si>
  <si>
    <r>
      <t xml:space="preserve">Tabuľka č. 28: Náklady verejných vysokých škôl v roku 2006 v oblasti sociálnej podpory študentov 
</t>
    </r>
    <r>
      <rPr>
        <b/>
        <sz val="12"/>
        <rFont val="Times New Roman"/>
        <family val="1"/>
      </rPr>
      <t>(v tis. Sk)</t>
    </r>
  </si>
  <si>
    <r>
      <t xml:space="preserve">Tabuľka č. 29: Výsledky hospodárenia verejných vysokých škôl v roku 2006  v oblasti sociálnej podpory študentov 
</t>
    </r>
    <r>
      <rPr>
        <b/>
        <sz val="12"/>
        <rFont val="Times New Roman"/>
        <family val="1"/>
      </rPr>
      <t>(v tis. Sk)</t>
    </r>
  </si>
  <si>
    <t>Novoprijatí-externá
forma štúdia 
1. st. 2006/07</t>
  </si>
  <si>
    <t>Tabuľka č. 30: Štruktúra Slovenskej akademickej dátovej siete SANET, fenruár 2007</t>
  </si>
  <si>
    <t xml:space="preserve">Podiel vysokej školy
na celkovom počte podporovaných projektov 
(v %) </t>
  </si>
  <si>
    <t>Objem finančných 
prostriedkov pridelený 
pre sektor 
(v tis. Sk)</t>
  </si>
  <si>
    <t xml:space="preserve">Podiel sektora na celkovom objeme pridelených 
finančných prostriedkov 
(v %) </t>
  </si>
  <si>
    <r>
      <rPr>
        <sz val="12"/>
        <rFont val="Times New Roman"/>
        <family val="1"/>
      </rPr>
      <t>Sektor vysokých škôl</t>
    </r>
  </si>
  <si>
    <r>
      <rPr>
        <sz val="12"/>
        <rFont val="Times New Roman"/>
        <family val="1"/>
      </rPr>
      <t>Štátny sektor (bez SAV)</t>
    </r>
  </si>
  <si>
    <r>
      <rPr>
        <sz val="12"/>
        <rFont val="Times New Roman"/>
        <family val="1"/>
      </rPr>
      <t>Slovenská akadémia vied</t>
    </r>
  </si>
  <si>
    <r>
      <rPr>
        <sz val="12"/>
        <rFont val="Times New Roman"/>
        <family val="1"/>
      </rPr>
      <t>Podnikateľský sektor</t>
    </r>
  </si>
  <si>
    <r>
      <rPr>
        <sz val="12"/>
        <rFont val="Times New Roman"/>
        <family val="1"/>
      </rPr>
      <t>Neziskové organizácie</t>
    </r>
  </si>
  <si>
    <r>
      <rPr>
        <b/>
        <sz val="12"/>
        <rFont val="Times New Roman"/>
        <family val="1"/>
      </rPr>
      <t xml:space="preserve">Počet nových  projektov, ktoré obdržali podporu   </t>
    </r>
  </si>
  <si>
    <r>
      <rPr>
        <b/>
        <sz val="12"/>
        <rFont val="Times New Roman"/>
        <family val="1"/>
      </rPr>
      <t xml:space="preserve">Počet podporovaných pokračujúcich    projektov </t>
    </r>
  </si>
  <si>
    <r>
      <rPr>
        <b/>
        <sz val="12"/>
        <rFont val="Times New Roman"/>
        <family val="1"/>
      </rPr>
      <t xml:space="preserve">Celkový počet podporovaných projektov   </t>
    </r>
  </si>
  <si>
    <r>
      <rPr>
        <b/>
        <sz val="12"/>
        <rFont val="Times New Roman"/>
        <family val="1"/>
      </rPr>
      <t>Sektor výskumu a vývoja</t>
    </r>
  </si>
  <si>
    <t>Tabuľka č. 16b: Podiel verejných vysokých škôl na získavaní finančných prostriedkov z APVV v porovnaní s ostatnými sektormi výskumu a vývoja v roku 2006</t>
  </si>
  <si>
    <t>Tabuľka č. 16a: Počty výskumných projektov verejných vysokých škôl a objem finančných prostriedkov poskytnutých na ich riešenie agentúrou APVV v roku 2006 podľa vysokých škôl</t>
  </si>
</sst>
</file>

<file path=xl/styles.xml><?xml version="1.0" encoding="utf-8"?>
<styleSheet xmlns="http://schemas.openxmlformats.org/spreadsheetml/2006/main">
  <numFmts count="45">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_-* #,##0.0\ _S_k_-;\-* #,##0.0\ _S_k_-;_-* &quot;-&quot;??\ _S_k_-;_-@_-"/>
    <numFmt numFmtId="165" formatCode="_-* #,##0\ _S_k_-;\-* #,##0\ _S_k_-;_-* &quot;-&quot;??\ _S_k_-;_-@_-"/>
    <numFmt numFmtId="166" formatCode="0.0%"/>
    <numFmt numFmtId="167" formatCode="_-* #,##0.0\ _S_k_-;\-* #,##0.0\ _S_k_-;_-* &quot;-&quot;?\ _S_k_-;_-@_-"/>
    <numFmt numFmtId="168" formatCode="#,##0_ ;\-#,##0\ "/>
    <numFmt numFmtId="169" formatCode="#,##0.0"/>
    <numFmt numFmtId="170" formatCode="#,##0.0_ ;\-#,##0.0\ "/>
    <numFmt numFmtId="171" formatCode="#,##0_ ;[Red]\-#,##0\ "/>
    <numFmt numFmtId="172" formatCode="_-* #,##0\ _S_k_-;\-* #,##0\ _S_k_-;_-* &quot;-&quot;???\ _S_k_-;_-@_-"/>
    <numFmt numFmtId="173" formatCode="0.000%"/>
    <numFmt numFmtId="174" formatCode="0.0000%"/>
    <numFmt numFmtId="175" formatCode="&quot;Áno&quot;;&quot;Áno&quot;;&quot;Nie&quot;"/>
    <numFmt numFmtId="176" formatCode="&quot;Pravda&quot;;&quot;Pravda&quot;;&quot;Nepravda&quot;"/>
    <numFmt numFmtId="177" formatCode="&quot;Zapnuté&quot;;&quot;Zapnuté&quot;;&quot;Vypnuté&quot;"/>
    <numFmt numFmtId="178" formatCode="#,##0.000"/>
    <numFmt numFmtId="179" formatCode="0.00_ ;[Red]\-0.00\ "/>
    <numFmt numFmtId="180" formatCode="0.0"/>
    <numFmt numFmtId="181" formatCode="#,##0.0000"/>
    <numFmt numFmtId="182" formatCode="[$-41B]d\.\ mmmm\ yyyy"/>
    <numFmt numFmtId="183" formatCode="#,##0.00\ &quot;SKK&quot;"/>
    <numFmt numFmtId="184" formatCode="#,##0.00\ &quot;SKK&quot;;\-\ #,##0.00\ &quot;SKK&quot;"/>
    <numFmt numFmtId="185" formatCode="_-* #,##0.000\ _S_k_-;\-* #,##0.000\ _S_k_-;_-* &quot;-&quot;???\ _S_k_-;_-@_-"/>
    <numFmt numFmtId="186" formatCode="_-* #,##0.00\ _S_k_-;\-* #,##0.00\ _S_k_-;_-* &quot;-&quot;???\ _S_k_-;_-@_-"/>
    <numFmt numFmtId="187" formatCode="_-* #,##0.0\ _S_k_-;\-* #,##0.0\ _S_k_-;_-* &quot;-&quot;???\ _S_k_-;_-@_-"/>
    <numFmt numFmtId="188" formatCode="0.000"/>
    <numFmt numFmtId="189" formatCode="#,##0.00_-;#,##0.00\-;&quot; &quot;"/>
    <numFmt numFmtId="190" formatCode="#,##0_-;#,##0\-;&quot; &quot;"/>
    <numFmt numFmtId="191" formatCode="0.0000000"/>
    <numFmt numFmtId="192" formatCode="0.000000"/>
    <numFmt numFmtId="193" formatCode="0.00000"/>
    <numFmt numFmtId="194" formatCode="0.0000"/>
    <numFmt numFmtId="195" formatCode="0_ ;[Red]\-0\ "/>
    <numFmt numFmtId="196" formatCode="#,##0.000_ ;\-#,##0.000\ "/>
    <numFmt numFmtId="197" formatCode="#,##0.000_-;#,##0.000\-;&quot; &quot;"/>
    <numFmt numFmtId="198" formatCode="#,##0.0_-;#,##0.0\-;&quot; &quot;"/>
    <numFmt numFmtId="199" formatCode="#,##0.0_ ;[Red]\-#,##0.0\ "/>
    <numFmt numFmtId="200" formatCode="#,##0.000000000"/>
  </numFmts>
  <fonts count="50">
    <font>
      <sz val="10"/>
      <name val="Arial"/>
      <family val="0"/>
    </font>
    <font>
      <sz val="8"/>
      <name val="Arial"/>
      <family val="0"/>
    </font>
    <font>
      <sz val="10"/>
      <name val="Arial CE"/>
      <family val="0"/>
    </font>
    <font>
      <u val="single"/>
      <sz val="10"/>
      <color indexed="12"/>
      <name val="Arial CE"/>
      <family val="0"/>
    </font>
    <font>
      <u val="single"/>
      <sz val="10"/>
      <color indexed="36"/>
      <name val="Arial CE"/>
      <family val="0"/>
    </font>
    <font>
      <sz val="10"/>
      <name val="Times New Roman"/>
      <family val="1"/>
    </font>
    <font>
      <b/>
      <i/>
      <sz val="12"/>
      <name val="Times New Roman"/>
      <family val="1"/>
    </font>
    <font>
      <sz val="12"/>
      <name val="Times New Roman"/>
      <family val="1"/>
    </font>
    <font>
      <b/>
      <sz val="12"/>
      <name val="Times New Roman"/>
      <family val="1"/>
    </font>
    <font>
      <b/>
      <sz val="16"/>
      <name val="Times New Roman"/>
      <family val="1"/>
    </font>
    <font>
      <i/>
      <sz val="12"/>
      <name val="Times New Roman"/>
      <family val="1"/>
    </font>
    <font>
      <b/>
      <sz val="11"/>
      <name val="Times New Roman"/>
      <family val="1"/>
    </font>
    <font>
      <i/>
      <sz val="11"/>
      <name val="Times New Roman"/>
      <family val="1"/>
    </font>
    <font>
      <b/>
      <i/>
      <sz val="11"/>
      <name val="Times New Roman"/>
      <family val="1"/>
    </font>
    <font>
      <sz val="11"/>
      <name val="Times New Roman"/>
      <family val="0"/>
    </font>
    <font>
      <b/>
      <sz val="10"/>
      <color indexed="8"/>
      <name val="Arial"/>
      <family val="2"/>
    </font>
    <font>
      <sz val="10"/>
      <color indexed="8"/>
      <name val="Arial"/>
      <family val="2"/>
    </font>
    <font>
      <sz val="12"/>
      <color indexed="8"/>
      <name val="Times New Roman"/>
      <family val="1"/>
    </font>
    <font>
      <b/>
      <sz val="14"/>
      <name val="Times New Roman"/>
      <family val="1"/>
    </font>
    <font>
      <sz val="16"/>
      <name val="Times New Roman"/>
      <family val="1"/>
    </font>
    <font>
      <b/>
      <sz val="10"/>
      <color indexed="39"/>
      <name val="Arial"/>
      <family val="2"/>
    </font>
    <font>
      <b/>
      <sz val="12"/>
      <color indexed="8"/>
      <name val="Arial"/>
      <family val="0"/>
    </font>
    <font>
      <sz val="10"/>
      <color indexed="39"/>
      <name val="Arial"/>
      <family val="2"/>
    </font>
    <font>
      <sz val="19"/>
      <color indexed="48"/>
      <name val="Arial"/>
      <family val="0"/>
    </font>
    <font>
      <sz val="10"/>
      <color indexed="10"/>
      <name val="Arial"/>
      <family val="2"/>
    </font>
    <font>
      <b/>
      <sz val="12"/>
      <color indexed="8"/>
      <name val="Times New Roman"/>
      <family val="1"/>
    </font>
    <font>
      <b/>
      <sz val="10"/>
      <name val="Arial"/>
      <family val="0"/>
    </font>
    <font>
      <i/>
      <sz val="10"/>
      <name val="Times New Roman"/>
      <family val="1"/>
    </font>
    <font>
      <sz val="11"/>
      <name val="Arial"/>
      <family val="0"/>
    </font>
    <font>
      <i/>
      <sz val="10"/>
      <color indexed="8"/>
      <name val="Times New Roman"/>
      <family val="1"/>
    </font>
    <font>
      <sz val="10"/>
      <color indexed="8"/>
      <name val="Times New Roman"/>
      <family val="1"/>
    </font>
    <font>
      <b/>
      <sz val="11"/>
      <color indexed="8"/>
      <name val="Times New Roman"/>
      <family val="1"/>
    </font>
    <font>
      <sz val="11"/>
      <color indexed="8"/>
      <name val="Times New Roman"/>
      <family val="1"/>
    </font>
    <font>
      <b/>
      <i/>
      <sz val="11"/>
      <color indexed="8"/>
      <name val="Times New Roman"/>
      <family val="1"/>
    </font>
    <font>
      <i/>
      <sz val="11"/>
      <color indexed="8"/>
      <name val="Times New Roman"/>
      <family val="1"/>
    </font>
    <font>
      <i/>
      <sz val="10"/>
      <color indexed="8"/>
      <name val="Arial"/>
      <family val="0"/>
    </font>
    <font>
      <i/>
      <sz val="12"/>
      <color indexed="8"/>
      <name val="Times New Roman"/>
      <family val="1"/>
    </font>
    <font>
      <b/>
      <sz val="16"/>
      <color indexed="8"/>
      <name val="Times New Roman"/>
      <family val="1"/>
    </font>
    <font>
      <i/>
      <sz val="10"/>
      <name val="Arial"/>
      <family val="0"/>
    </font>
    <font>
      <sz val="8"/>
      <name val="Arial CE"/>
      <family val="0"/>
    </font>
    <font>
      <sz val="8"/>
      <name val="Times New Roman"/>
      <family val="0"/>
    </font>
    <font>
      <sz val="12"/>
      <color indexed="8"/>
      <name val="Arial"/>
      <family val="2"/>
    </font>
    <font>
      <b/>
      <i/>
      <sz val="16"/>
      <name val="Times New Roman"/>
      <family val="1"/>
    </font>
    <font>
      <b/>
      <sz val="12"/>
      <color indexed="17"/>
      <name val="Times New Roman"/>
      <family val="1"/>
    </font>
    <font>
      <sz val="12"/>
      <color indexed="11"/>
      <name val="Times New Roman"/>
      <family val="1"/>
    </font>
    <font>
      <b/>
      <sz val="1.75"/>
      <name val="Arial"/>
      <family val="2"/>
    </font>
    <font>
      <sz val="3"/>
      <name val="Arial"/>
      <family val="0"/>
    </font>
    <font>
      <sz val="1.75"/>
      <name val="Arial"/>
      <family val="2"/>
    </font>
    <font>
      <b/>
      <sz val="1.8"/>
      <name val="Arial"/>
      <family val="5"/>
    </font>
    <font>
      <sz val="1.8"/>
      <name val="Arial"/>
      <family val="5"/>
    </font>
  </fonts>
  <fills count="25">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15"/>
        <bgColor indexed="64"/>
      </patternFill>
    </fill>
    <fill>
      <patternFill patternType="solid">
        <fgColor indexed="42"/>
        <bgColor indexed="64"/>
      </patternFill>
    </fill>
    <fill>
      <patternFill patternType="solid">
        <fgColor indexed="47"/>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s>
  <borders count="34">
    <border>
      <left/>
      <right/>
      <top/>
      <bottom/>
      <diagonal/>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medium"/>
    </border>
    <border>
      <left style="thin"/>
      <right>
        <color indexed="63"/>
      </right>
      <top>
        <color indexed="63"/>
      </top>
      <bottom>
        <color indexed="63"/>
      </bottom>
    </border>
    <border>
      <left style="thin">
        <color indexed="8"/>
      </left>
      <right>
        <color indexed="63"/>
      </right>
      <top style="thin"/>
      <bottom>
        <color indexed="63"/>
      </bottom>
    </border>
    <border>
      <left style="thin"/>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color indexed="63"/>
      </bottom>
    </border>
    <border>
      <left style="thin"/>
      <right>
        <color indexed="63"/>
      </right>
      <top style="thin">
        <color indexed="8"/>
      </top>
      <bottom style="thin"/>
    </border>
    <border>
      <left style="thin">
        <color indexed="8"/>
      </left>
      <right style="thin"/>
      <top>
        <color indexed="63"/>
      </top>
      <bottom>
        <color indexed="63"/>
      </bottom>
    </border>
    <border>
      <left style="thin"/>
      <right style="thin"/>
      <top style="thin">
        <color indexed="8"/>
      </top>
      <bottom style="thin"/>
    </border>
    <border>
      <left style="thin">
        <color indexed="8"/>
      </left>
      <right style="thin"/>
      <top style="thin">
        <color indexed="8"/>
      </top>
      <bottom>
        <color indexed="63"/>
      </bottom>
    </border>
    <border>
      <left style="thin">
        <color indexed="8"/>
      </left>
      <right style="thin"/>
      <top style="thin">
        <color indexed="8"/>
      </top>
      <bottom style="thin"/>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medium"/>
      <right style="thin"/>
      <top style="thin"/>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color indexed="8"/>
      </left>
      <right style="thin"/>
      <top style="thin"/>
      <bottom>
        <color indexed="63"/>
      </bottom>
    </border>
    <border>
      <left style="thin">
        <color indexed="8"/>
      </left>
      <right style="thin"/>
      <top>
        <color indexed="63"/>
      </top>
      <bottom style="thin">
        <color indexed="8"/>
      </bottom>
    </border>
    <border>
      <left style="thin">
        <color indexed="8"/>
      </left>
      <right>
        <color indexed="63"/>
      </right>
      <top>
        <color indexed="63"/>
      </top>
      <bottom style="thin">
        <color indexed="8"/>
      </bottom>
    </border>
    <border>
      <left>
        <color indexed="63"/>
      </left>
      <right style="thin"/>
      <top>
        <color indexed="63"/>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xf numFmtId="4" fontId="15" fillId="2" borderId="1" applyNumberFormat="0" applyProtection="0">
      <alignment vertical="center"/>
    </xf>
    <xf numFmtId="4" fontId="20" fillId="2" borderId="1" applyNumberFormat="0" applyProtection="0">
      <alignment vertical="center"/>
    </xf>
    <xf numFmtId="4" fontId="15" fillId="2" borderId="1" applyNumberFormat="0" applyProtection="0">
      <alignment horizontal="left" vertical="center" indent="1"/>
    </xf>
    <xf numFmtId="0" fontId="15" fillId="2" borderId="1" applyNumberFormat="0" applyProtection="0">
      <alignment horizontal="left" vertical="top" indent="1"/>
    </xf>
    <xf numFmtId="4" fontId="16" fillId="3" borderId="1" applyNumberFormat="0" applyProtection="0">
      <alignment horizontal="right" vertical="center"/>
    </xf>
    <xf numFmtId="4" fontId="16" fillId="4" borderId="1" applyNumberFormat="0" applyProtection="0">
      <alignment horizontal="right" vertical="center"/>
    </xf>
    <xf numFmtId="4" fontId="16" fillId="5" borderId="1" applyNumberFormat="0" applyProtection="0">
      <alignment horizontal="right" vertical="center"/>
    </xf>
    <xf numFmtId="4" fontId="16" fillId="6" borderId="1" applyNumberFormat="0" applyProtection="0">
      <alignment horizontal="right" vertical="center"/>
    </xf>
    <xf numFmtId="4" fontId="16" fillId="7" borderId="1" applyNumberFormat="0" applyProtection="0">
      <alignment horizontal="right" vertical="center"/>
    </xf>
    <xf numFmtId="4" fontId="16" fillId="8" borderId="1" applyNumberFormat="0" applyProtection="0">
      <alignment horizontal="right" vertical="center"/>
    </xf>
    <xf numFmtId="4" fontId="16" fillId="9" borderId="1" applyNumberFormat="0" applyProtection="0">
      <alignment horizontal="right" vertical="center"/>
    </xf>
    <xf numFmtId="4" fontId="16" fillId="10" borderId="1" applyNumberFormat="0" applyProtection="0">
      <alignment horizontal="right" vertical="center"/>
    </xf>
    <xf numFmtId="4" fontId="16" fillId="11" borderId="1" applyNumberFormat="0" applyProtection="0">
      <alignment horizontal="right" vertical="center"/>
    </xf>
    <xf numFmtId="4" fontId="15" fillId="12" borderId="2" applyNumberFormat="0" applyProtection="0">
      <alignment horizontal="left" vertical="center" indent="1"/>
    </xf>
    <xf numFmtId="4" fontId="16" fillId="13" borderId="0" applyNumberFormat="0" applyProtection="0">
      <alignment horizontal="left" vertical="center" indent="1"/>
    </xf>
    <xf numFmtId="4" fontId="21" fillId="14" borderId="0" applyNumberFormat="0" applyProtection="0">
      <alignment horizontal="left" vertical="center" indent="1"/>
    </xf>
    <xf numFmtId="4" fontId="16" fillId="15" borderId="1" applyNumberFormat="0" applyProtection="0">
      <alignment horizontal="right" vertical="center"/>
    </xf>
    <xf numFmtId="4" fontId="16" fillId="13" borderId="0" applyNumberFormat="0" applyProtection="0">
      <alignment horizontal="left" vertical="center" indent="1"/>
    </xf>
    <xf numFmtId="4" fontId="16" fillId="15" borderId="0" applyNumberFormat="0" applyProtection="0">
      <alignment horizontal="left" vertical="center" indent="1"/>
    </xf>
    <xf numFmtId="0" fontId="0" fillId="14" borderId="1" applyNumberFormat="0" applyProtection="0">
      <alignment horizontal="left" vertical="center" indent="1"/>
    </xf>
    <xf numFmtId="0" fontId="0" fillId="14" borderId="1" applyNumberFormat="0" applyProtection="0">
      <alignment horizontal="left" vertical="top" indent="1"/>
    </xf>
    <xf numFmtId="0" fontId="0" fillId="15" borderId="1" applyNumberFormat="0" applyProtection="0">
      <alignment horizontal="left" vertical="center" indent="1"/>
    </xf>
    <xf numFmtId="0" fontId="0" fillId="15" borderId="1" applyNumberFormat="0" applyProtection="0">
      <alignment horizontal="left" vertical="top" indent="1"/>
    </xf>
    <xf numFmtId="0" fontId="0" fillId="16" borderId="1" applyNumberFormat="0" applyProtection="0">
      <alignment horizontal="left" vertical="center" indent="1"/>
    </xf>
    <xf numFmtId="0" fontId="0" fillId="16" borderId="1" applyNumberFormat="0" applyProtection="0">
      <alignment horizontal="left" vertical="top" indent="1"/>
    </xf>
    <xf numFmtId="0" fontId="0" fillId="13" borderId="1" applyNumberFormat="0" applyProtection="0">
      <alignment horizontal="left" vertical="center" indent="1"/>
    </xf>
    <xf numFmtId="0" fontId="0" fillId="13" borderId="1" applyNumberFormat="0" applyProtection="0">
      <alignment horizontal="left" vertical="top" indent="1"/>
    </xf>
    <xf numFmtId="4" fontId="15" fillId="15" borderId="0" applyNumberFormat="0" applyProtection="0">
      <alignment horizontal="left" vertical="center" indent="1"/>
    </xf>
    <xf numFmtId="4" fontId="16" fillId="17" borderId="1" applyNumberFormat="0" applyProtection="0">
      <alignment vertical="center"/>
    </xf>
    <xf numFmtId="4" fontId="22" fillId="17" borderId="1" applyNumberFormat="0" applyProtection="0">
      <alignment vertical="center"/>
    </xf>
    <xf numFmtId="4" fontId="16" fillId="17" borderId="1" applyNumberFormat="0" applyProtection="0">
      <alignment horizontal="left" vertical="center" indent="1"/>
    </xf>
    <xf numFmtId="0" fontId="16" fillId="17" borderId="1" applyNumberFormat="0" applyProtection="0">
      <alignment horizontal="left" vertical="top" indent="1"/>
    </xf>
    <xf numFmtId="4" fontId="16" fillId="13" borderId="1" applyNumberFormat="0" applyProtection="0">
      <alignment horizontal="right" vertical="center"/>
    </xf>
    <xf numFmtId="4" fontId="22" fillId="13" borderId="1" applyNumberFormat="0" applyProtection="0">
      <alignment horizontal="right" vertical="center"/>
    </xf>
    <xf numFmtId="4" fontId="16" fillId="15" borderId="1" applyNumberFormat="0" applyProtection="0">
      <alignment horizontal="left" vertical="center" indent="1"/>
    </xf>
    <xf numFmtId="0" fontId="16" fillId="15" borderId="1" applyNumberFormat="0" applyProtection="0">
      <alignment horizontal="left" vertical="top" indent="1"/>
    </xf>
    <xf numFmtId="4" fontId="23" fillId="18" borderId="0" applyNumberFormat="0" applyProtection="0">
      <alignment horizontal="left" vertical="center" indent="1"/>
    </xf>
    <xf numFmtId="4" fontId="24" fillId="13" borderId="1" applyNumberFormat="0" applyProtection="0">
      <alignment horizontal="right" vertical="center"/>
    </xf>
  </cellStyleXfs>
  <cellXfs count="612">
    <xf numFmtId="0" fontId="0" fillId="0" borderId="0" xfId="0" applyAlignment="1">
      <alignment/>
    </xf>
    <xf numFmtId="0" fontId="5" fillId="0" borderId="0" xfId="0" applyFont="1" applyAlignment="1">
      <alignment/>
    </xf>
    <xf numFmtId="0" fontId="7" fillId="0" borderId="0" xfId="0" applyFont="1" applyAlignment="1">
      <alignment/>
    </xf>
    <xf numFmtId="3" fontId="7" fillId="0" borderId="0" xfId="0" applyNumberFormat="1" applyFont="1" applyFill="1" applyBorder="1" applyAlignment="1">
      <alignment vertical="center" wrapText="1"/>
    </xf>
    <xf numFmtId="0" fontId="0" fillId="0" borderId="0" xfId="0" applyBorder="1" applyAlignment="1">
      <alignment/>
    </xf>
    <xf numFmtId="3" fontId="7" fillId="0" borderId="0" xfId="0" applyNumberFormat="1" applyFont="1" applyBorder="1" applyAlignment="1">
      <alignment horizontal="right" indent="3"/>
    </xf>
    <xf numFmtId="3" fontId="7" fillId="0" borderId="0" xfId="25" applyNumberFormat="1" applyFont="1" applyBorder="1" applyAlignment="1">
      <alignment horizontal="left" vertical="center" wrapText="1"/>
      <protection/>
    </xf>
    <xf numFmtId="3" fontId="6" fillId="0" borderId="0" xfId="25" applyNumberFormat="1" applyFont="1" applyBorder="1" applyAlignment="1">
      <alignment horizontal="center" vertical="center" wrapText="1"/>
      <protection/>
    </xf>
    <xf numFmtId="3" fontId="8" fillId="0" borderId="0" xfId="25" applyNumberFormat="1" applyFont="1" applyBorder="1" applyAlignment="1">
      <alignment horizontal="left" vertical="center" wrapText="1"/>
      <protection/>
    </xf>
    <xf numFmtId="3" fontId="7" fillId="0" borderId="0" xfId="25" applyNumberFormat="1" applyFont="1" applyFill="1" applyBorder="1" applyAlignment="1">
      <alignment horizontal="left" vertical="center" wrapText="1"/>
      <protection/>
    </xf>
    <xf numFmtId="3" fontId="7" fillId="0" borderId="0" xfId="25" applyNumberFormat="1" applyFont="1" applyBorder="1" applyAlignment="1">
      <alignment horizontal="right" vertical="center" wrapText="1"/>
      <protection/>
    </xf>
    <xf numFmtId="3" fontId="7" fillId="0" borderId="0" xfId="25" applyNumberFormat="1" applyFont="1" applyBorder="1" applyAlignment="1">
      <alignment horizontal="right" vertical="center" wrapText="1"/>
      <protection/>
    </xf>
    <xf numFmtId="3" fontId="7" fillId="0" borderId="0" xfId="25" applyNumberFormat="1" applyFont="1" applyBorder="1" applyAlignment="1">
      <alignment horizontal="left" vertical="center" wrapText="1"/>
      <protection/>
    </xf>
    <xf numFmtId="3" fontId="9" fillId="0" borderId="0" xfId="25" applyNumberFormat="1" applyFont="1" applyFill="1" applyBorder="1" applyAlignment="1">
      <alignment vertical="center" wrapText="1"/>
      <protection/>
    </xf>
    <xf numFmtId="0" fontId="0" fillId="0" borderId="0" xfId="0" applyFill="1" applyAlignment="1">
      <alignment/>
    </xf>
    <xf numFmtId="0" fontId="5" fillId="0" borderId="0" xfId="0" applyFont="1" applyFill="1" applyAlignment="1">
      <alignment/>
    </xf>
    <xf numFmtId="0" fontId="5" fillId="0" borderId="0" xfId="0" applyFont="1" applyAlignment="1">
      <alignment horizontal="right"/>
    </xf>
    <xf numFmtId="3" fontId="7" fillId="0" borderId="0" xfId="0" applyNumberFormat="1" applyFont="1" applyFill="1" applyBorder="1" applyAlignment="1">
      <alignment horizontal="left" vertical="center" wrapText="1" indent="1"/>
    </xf>
    <xf numFmtId="3" fontId="0" fillId="0" borderId="0" xfId="0" applyNumberFormat="1" applyAlignment="1">
      <alignment/>
    </xf>
    <xf numFmtId="0" fontId="8" fillId="0" borderId="0" xfId="0" applyFont="1" applyAlignment="1">
      <alignment/>
    </xf>
    <xf numFmtId="166" fontId="10" fillId="19" borderId="3" xfId="29" applyNumberFormat="1" applyFont="1" applyFill="1" applyBorder="1" applyAlignment="1">
      <alignment horizontal="right" indent="1"/>
    </xf>
    <xf numFmtId="165" fontId="7" fillId="0" borderId="3" xfId="15" applyNumberFormat="1" applyFont="1" applyBorder="1" applyAlignment="1">
      <alignment horizontal="right"/>
    </xf>
    <xf numFmtId="3" fontId="7" fillId="0" borderId="3" xfId="15" applyNumberFormat="1" applyFont="1" applyFill="1" applyBorder="1" applyAlignment="1">
      <alignment horizontal="right" indent="1"/>
    </xf>
    <xf numFmtId="0" fontId="19" fillId="0" borderId="0" xfId="0" applyFont="1" applyAlignment="1">
      <alignment/>
    </xf>
    <xf numFmtId="165" fontId="7" fillId="0" borderId="0" xfId="15" applyNumberFormat="1" applyFont="1" applyAlignment="1">
      <alignment horizontal="right" indent="2"/>
    </xf>
    <xf numFmtId="0" fontId="9" fillId="0" borderId="0" xfId="0" applyFont="1" applyAlignment="1">
      <alignment horizontal="center"/>
    </xf>
    <xf numFmtId="166" fontId="10" fillId="0" borderId="0" xfId="29" applyNumberFormat="1" applyFont="1" applyAlignment="1">
      <alignment horizontal="right" indent="2"/>
    </xf>
    <xf numFmtId="9" fontId="10" fillId="19" borderId="3" xfId="29" applyFont="1" applyFill="1" applyBorder="1" applyAlignment="1">
      <alignment horizontal="right" indent="1"/>
    </xf>
    <xf numFmtId="3" fontId="14" fillId="0" borderId="3" xfId="15" applyNumberFormat="1" applyFont="1" applyFill="1" applyBorder="1" applyAlignment="1" applyProtection="1">
      <alignment horizontal="right" vertical="center" wrapText="1" indent="1"/>
      <protection locked="0"/>
    </xf>
    <xf numFmtId="3" fontId="7" fillId="0" borderId="3" xfId="15" applyNumberFormat="1" applyFont="1" applyBorder="1" applyAlignment="1">
      <alignment horizontal="right" indent="1"/>
    </xf>
    <xf numFmtId="3" fontId="5" fillId="0" borderId="0" xfId="25" applyNumberFormat="1" applyFont="1" applyBorder="1" applyAlignment="1">
      <alignment horizontal="right" vertical="center"/>
      <protection/>
    </xf>
    <xf numFmtId="0" fontId="5" fillId="0" borderId="0" xfId="0" applyFont="1" applyAlignment="1">
      <alignment vertical="top" wrapText="1"/>
    </xf>
    <xf numFmtId="0" fontId="9" fillId="0" borderId="0" xfId="0" applyFont="1" applyAlignment="1">
      <alignment vertical="center"/>
    </xf>
    <xf numFmtId="3" fontId="6" fillId="0" borderId="0" xfId="0" applyNumberFormat="1" applyFont="1" applyFill="1" applyBorder="1" applyAlignment="1">
      <alignment horizontal="right" vertical="center" wrapText="1" indent="2"/>
    </xf>
    <xf numFmtId="3" fontId="8" fillId="0" borderId="0" xfId="15" applyNumberFormat="1" applyFont="1" applyFill="1" applyBorder="1" applyAlignment="1">
      <alignment horizontal="right" indent="2"/>
    </xf>
    <xf numFmtId="3" fontId="7" fillId="0" borderId="3" xfId="15" applyNumberFormat="1" applyFont="1" applyFill="1" applyBorder="1" applyAlignment="1" applyProtection="1">
      <alignment horizontal="right" indent="1"/>
      <protection locked="0"/>
    </xf>
    <xf numFmtId="3" fontId="8" fillId="19" borderId="3" xfId="0" applyNumberFormat="1" applyFont="1" applyFill="1" applyBorder="1" applyAlignment="1">
      <alignment horizontal="center" vertical="center" wrapText="1"/>
    </xf>
    <xf numFmtId="3" fontId="8" fillId="13" borderId="3" xfId="0" applyNumberFormat="1" applyFont="1" applyFill="1" applyBorder="1" applyAlignment="1">
      <alignment horizontal="center" vertical="center" wrapText="1"/>
    </xf>
    <xf numFmtId="3" fontId="7" fillId="0" borderId="3" xfId="0" applyNumberFormat="1" applyFont="1" applyFill="1" applyBorder="1" applyAlignment="1">
      <alignment horizontal="left" vertical="center" wrapText="1" indent="1"/>
    </xf>
    <xf numFmtId="3" fontId="6" fillId="20" borderId="3" xfId="0" applyNumberFormat="1" applyFont="1" applyFill="1" applyBorder="1" applyAlignment="1">
      <alignment horizontal="left" vertical="center" wrapText="1" indent="1"/>
    </xf>
    <xf numFmtId="3" fontId="6" fillId="20" borderId="3" xfId="15" applyNumberFormat="1" applyFont="1" applyFill="1" applyBorder="1" applyAlignment="1">
      <alignment horizontal="right" indent="1"/>
    </xf>
    <xf numFmtId="3" fontId="8" fillId="7" borderId="3" xfId="0" applyNumberFormat="1" applyFont="1" applyFill="1" applyBorder="1" applyAlignment="1">
      <alignment horizontal="left" vertical="center" wrapText="1" indent="1"/>
    </xf>
    <xf numFmtId="3" fontId="8" fillId="7" borderId="3" xfId="15" applyNumberFormat="1" applyFont="1" applyFill="1" applyBorder="1" applyAlignment="1">
      <alignment horizontal="right" indent="1"/>
    </xf>
    <xf numFmtId="3" fontId="8" fillId="19" borderId="3" xfId="22" applyNumberFormat="1" applyFont="1" applyFill="1" applyBorder="1" applyAlignment="1">
      <alignment horizontal="center" vertical="center" wrapText="1"/>
      <protection/>
    </xf>
    <xf numFmtId="3" fontId="8" fillId="0" borderId="3" xfId="23" applyNumberFormat="1" applyFont="1" applyFill="1" applyBorder="1" applyAlignment="1">
      <alignment horizontal="center" vertical="center" wrapText="1"/>
      <protection/>
    </xf>
    <xf numFmtId="3" fontId="7" fillId="0" borderId="3" xfId="23" applyNumberFormat="1" applyFont="1" applyFill="1" applyBorder="1" applyAlignment="1">
      <alignment horizontal="center" vertical="center" wrapText="1"/>
      <protection/>
    </xf>
    <xf numFmtId="4" fontId="7" fillId="0" borderId="3" xfId="23" applyNumberFormat="1" applyFont="1" applyFill="1" applyBorder="1" applyAlignment="1">
      <alignment horizontal="center" vertical="center" wrapText="1"/>
      <protection/>
    </xf>
    <xf numFmtId="3" fontId="8" fillId="20" borderId="3" xfId="23" applyNumberFormat="1" applyFont="1" applyFill="1" applyBorder="1" applyAlignment="1">
      <alignment horizontal="left" vertical="center" wrapText="1" indent="1"/>
      <protection/>
    </xf>
    <xf numFmtId="3" fontId="7" fillId="20" borderId="3" xfId="23" applyNumberFormat="1" applyFont="1" applyFill="1" applyBorder="1" applyAlignment="1">
      <alignment horizontal="right" vertical="center" wrapText="1" indent="1"/>
      <protection/>
    </xf>
    <xf numFmtId="4" fontId="7" fillId="20" borderId="3" xfId="23" applyNumberFormat="1" applyFont="1" applyFill="1" applyBorder="1" applyAlignment="1">
      <alignment horizontal="right" vertical="center" wrapText="1" indent="1"/>
      <protection/>
    </xf>
    <xf numFmtId="3" fontId="7" fillId="0" borderId="3" xfId="23" applyNumberFormat="1" applyFont="1" applyFill="1" applyBorder="1" applyAlignment="1">
      <alignment horizontal="left" vertical="center" wrapText="1" indent="1"/>
      <protection/>
    </xf>
    <xf numFmtId="3" fontId="7" fillId="0" borderId="3" xfId="15" applyNumberFormat="1" applyFont="1" applyFill="1" applyBorder="1" applyAlignment="1" applyProtection="1">
      <alignment horizontal="right" vertical="center" wrapText="1" indent="1"/>
      <protection locked="0"/>
    </xf>
    <xf numFmtId="3" fontId="7" fillId="13" borderId="3" xfId="15" applyNumberFormat="1" applyFont="1" applyFill="1" applyBorder="1" applyAlignment="1" applyProtection="1">
      <alignment horizontal="right" vertical="center" wrapText="1" indent="1"/>
      <protection locked="0"/>
    </xf>
    <xf numFmtId="4" fontId="7" fillId="0" borderId="3" xfId="23" applyNumberFormat="1" applyFont="1" applyFill="1" applyBorder="1" applyAlignment="1">
      <alignment horizontal="right" vertical="center" wrapText="1" indent="1"/>
      <protection/>
    </xf>
    <xf numFmtId="4" fontId="7" fillId="19" borderId="3" xfId="23" applyNumberFormat="1" applyFont="1" applyFill="1" applyBorder="1" applyAlignment="1">
      <alignment horizontal="right" vertical="center" wrapText="1" indent="1"/>
      <protection/>
    </xf>
    <xf numFmtId="3" fontId="7" fillId="20" borderId="3" xfId="15" applyNumberFormat="1" applyFont="1" applyFill="1" applyBorder="1" applyAlignment="1">
      <alignment horizontal="right" vertical="center" wrapText="1" indent="1"/>
    </xf>
    <xf numFmtId="3" fontId="7" fillId="20" borderId="3" xfId="15" applyNumberFormat="1" applyFont="1" applyFill="1" applyBorder="1" applyAlignment="1" applyProtection="1">
      <alignment horizontal="right" vertical="center" wrapText="1" indent="1"/>
      <protection locked="0"/>
    </xf>
    <xf numFmtId="3" fontId="6" fillId="20" borderId="3" xfId="23" applyNumberFormat="1" applyFont="1" applyFill="1" applyBorder="1" applyAlignment="1">
      <alignment horizontal="left" vertical="center" wrapText="1" indent="1"/>
      <protection/>
    </xf>
    <xf numFmtId="3" fontId="6" fillId="20" borderId="3" xfId="15" applyNumberFormat="1" applyFont="1" applyFill="1" applyBorder="1" applyAlignment="1">
      <alignment horizontal="right" vertical="center" wrapText="1" indent="1"/>
    </xf>
    <xf numFmtId="4" fontId="6" fillId="20" borderId="3" xfId="23" applyNumberFormat="1" applyFont="1" applyFill="1" applyBorder="1" applyAlignment="1">
      <alignment horizontal="right" vertical="center" wrapText="1" indent="1"/>
      <protection/>
    </xf>
    <xf numFmtId="3" fontId="8" fillId="7" borderId="3" xfId="23" applyNumberFormat="1" applyFont="1" applyFill="1" applyBorder="1" applyAlignment="1">
      <alignment horizontal="left" vertical="center" wrapText="1" indent="1"/>
      <protection/>
    </xf>
    <xf numFmtId="3" fontId="8" fillId="7" borderId="3" xfId="15" applyNumberFormat="1" applyFont="1" applyFill="1" applyBorder="1" applyAlignment="1">
      <alignment horizontal="right" vertical="center" wrapText="1" indent="1"/>
    </xf>
    <xf numFmtId="4" fontId="8" fillId="7" borderId="3" xfId="23" applyNumberFormat="1" applyFont="1" applyFill="1" applyBorder="1" applyAlignment="1">
      <alignment horizontal="right" vertical="center" wrapText="1" indent="1"/>
      <protection/>
    </xf>
    <xf numFmtId="3" fontId="8" fillId="0" borderId="3" xfId="23" applyNumberFormat="1" applyFont="1" applyFill="1" applyBorder="1" applyAlignment="1">
      <alignment horizontal="center" vertical="center" textRotation="90" wrapText="1"/>
      <protection/>
    </xf>
    <xf numFmtId="3" fontId="14" fillId="20" borderId="3" xfId="23" applyNumberFormat="1" applyFont="1" applyFill="1" applyBorder="1" applyAlignment="1" applyProtection="1">
      <alignment horizontal="right" vertical="center" wrapText="1" indent="1"/>
      <protection locked="0"/>
    </xf>
    <xf numFmtId="166" fontId="12" fillId="20" borderId="3" xfId="29" applyNumberFormat="1" applyFont="1" applyFill="1" applyBorder="1" applyAlignment="1">
      <alignment horizontal="right" vertical="center" wrapText="1" indent="1"/>
    </xf>
    <xf numFmtId="3" fontId="14" fillId="20" borderId="3" xfId="15" applyNumberFormat="1" applyFont="1" applyFill="1" applyBorder="1" applyAlignment="1" applyProtection="1">
      <alignment horizontal="right" vertical="center" wrapText="1" indent="1"/>
      <protection locked="0"/>
    </xf>
    <xf numFmtId="3" fontId="11" fillId="7" borderId="3" xfId="15" applyNumberFormat="1" applyFont="1" applyFill="1" applyBorder="1" applyAlignment="1" applyProtection="1">
      <alignment horizontal="right" vertical="center" wrapText="1" indent="1"/>
      <protection locked="0"/>
    </xf>
    <xf numFmtId="0" fontId="8" fillId="0" borderId="3" xfId="0" applyFont="1" applyBorder="1" applyAlignment="1">
      <alignment horizontal="center"/>
    </xf>
    <xf numFmtId="0" fontId="6" fillId="19" borderId="3" xfId="0" applyFont="1" applyFill="1" applyBorder="1" applyAlignment="1">
      <alignment horizontal="center"/>
    </xf>
    <xf numFmtId="166" fontId="6" fillId="19" borderId="3" xfId="29" applyNumberFormat="1" applyFont="1" applyFill="1" applyBorder="1" applyAlignment="1">
      <alignment horizontal="center"/>
    </xf>
    <xf numFmtId="0" fontId="7" fillId="0" borderId="3" xfId="0" applyFont="1" applyBorder="1" applyAlignment="1">
      <alignment horizontal="center"/>
    </xf>
    <xf numFmtId="0" fontId="8" fillId="0" borderId="3" xfId="0" applyFont="1" applyBorder="1" applyAlignment="1">
      <alignment horizontal="center" vertical="center"/>
    </xf>
    <xf numFmtId="165" fontId="7" fillId="0" borderId="3" xfId="15" applyNumberFormat="1" applyFont="1" applyBorder="1" applyAlignment="1">
      <alignment horizontal="right" indent="2"/>
    </xf>
    <xf numFmtId="166" fontId="10" fillId="19" borderId="3" xfId="29" applyNumberFormat="1" applyFont="1" applyFill="1" applyBorder="1" applyAlignment="1">
      <alignment horizontal="right" indent="2"/>
    </xf>
    <xf numFmtId="0" fontId="7" fillId="0" borderId="3" xfId="0" applyFont="1" applyBorder="1" applyAlignment="1">
      <alignment/>
    </xf>
    <xf numFmtId="0" fontId="8" fillId="19" borderId="3" xfId="0" applyFont="1" applyFill="1" applyBorder="1" applyAlignment="1">
      <alignment horizontal="center"/>
    </xf>
    <xf numFmtId="3" fontId="8" fillId="0" borderId="3" xfId="25" applyNumberFormat="1" applyFont="1" applyFill="1" applyBorder="1" applyAlignment="1">
      <alignment horizontal="center" vertical="center" wrapText="1"/>
      <protection/>
    </xf>
    <xf numFmtId="3" fontId="8" fillId="13" borderId="3" xfId="25" applyNumberFormat="1" applyFont="1" applyFill="1" applyBorder="1" applyAlignment="1">
      <alignment horizontal="center" vertical="center" wrapText="1"/>
      <protection/>
    </xf>
    <xf numFmtId="3" fontId="8" fillId="0" borderId="3" xfId="22" applyNumberFormat="1" applyFont="1" applyFill="1" applyBorder="1" applyAlignment="1">
      <alignment horizontal="center" vertical="center" wrapText="1"/>
      <protection/>
    </xf>
    <xf numFmtId="3" fontId="8" fillId="0" borderId="0" xfId="0" applyNumberFormat="1" applyFont="1" applyFill="1" applyBorder="1" applyAlignment="1">
      <alignment horizontal="right" vertical="center" wrapText="1" indent="2"/>
    </xf>
    <xf numFmtId="9" fontId="10" fillId="20" borderId="3" xfId="29" applyFont="1" applyFill="1" applyBorder="1" applyAlignment="1">
      <alignment horizontal="right" indent="1"/>
    </xf>
    <xf numFmtId="9" fontId="10" fillId="7" borderId="3" xfId="29" applyFont="1" applyFill="1" applyBorder="1" applyAlignment="1">
      <alignment horizontal="right" indent="1"/>
    </xf>
    <xf numFmtId="0" fontId="27" fillId="0" borderId="0" xfId="0" applyFont="1" applyAlignment="1">
      <alignment horizontal="right"/>
    </xf>
    <xf numFmtId="3" fontId="17" fillId="0" borderId="3" xfId="0" applyNumberFormat="1" applyFont="1" applyFill="1" applyBorder="1" applyAlignment="1">
      <alignment horizontal="left" vertical="center" wrapText="1" indent="1"/>
    </xf>
    <xf numFmtId="3" fontId="17" fillId="0" borderId="0" xfId="0" applyNumberFormat="1" applyFont="1" applyFill="1" applyBorder="1" applyAlignment="1">
      <alignment horizontal="right" vertical="center" wrapText="1" indent="1"/>
    </xf>
    <xf numFmtId="3" fontId="25" fillId="0" borderId="0" xfId="0" applyNumberFormat="1" applyFont="1" applyFill="1" applyBorder="1" applyAlignment="1">
      <alignment horizontal="right" vertical="center" wrapText="1" indent="1"/>
    </xf>
    <xf numFmtId="0" fontId="29" fillId="0" borderId="0" xfId="0" applyFont="1" applyAlignment="1">
      <alignment/>
    </xf>
    <xf numFmtId="0" fontId="30" fillId="0" borderId="0" xfId="0" applyFont="1" applyAlignment="1">
      <alignment/>
    </xf>
    <xf numFmtId="3" fontId="31" fillId="19" borderId="3" xfId="0" applyNumberFormat="1" applyFont="1" applyFill="1" applyBorder="1" applyAlignment="1">
      <alignment horizontal="center" vertical="center" wrapText="1"/>
    </xf>
    <xf numFmtId="3" fontId="32" fillId="0" borderId="3" xfId="0" applyNumberFormat="1" applyFont="1" applyFill="1" applyBorder="1" applyAlignment="1">
      <alignment horizontal="left" vertical="center" wrapText="1" indent="1"/>
    </xf>
    <xf numFmtId="3" fontId="33" fillId="20" borderId="3" xfId="0" applyNumberFormat="1" applyFont="1" applyFill="1" applyBorder="1" applyAlignment="1">
      <alignment horizontal="left" vertical="center" wrapText="1" indent="1"/>
    </xf>
    <xf numFmtId="0" fontId="32" fillId="0" borderId="0" xfId="0" applyFont="1" applyAlignment="1">
      <alignment/>
    </xf>
    <xf numFmtId="0" fontId="34" fillId="0" borderId="0" xfId="0" applyFont="1" applyAlignment="1">
      <alignment horizontal="right"/>
    </xf>
    <xf numFmtId="3" fontId="32" fillId="0" borderId="0" xfId="0" applyNumberFormat="1" applyFont="1" applyFill="1" applyBorder="1" applyAlignment="1">
      <alignment horizontal="right" vertical="center" wrapText="1" indent="1"/>
    </xf>
    <xf numFmtId="3" fontId="31" fillId="0" borderId="0" xfId="0" applyNumberFormat="1" applyFont="1" applyFill="1" applyBorder="1" applyAlignment="1">
      <alignment horizontal="right" vertical="center" wrapText="1" indent="1"/>
    </xf>
    <xf numFmtId="3" fontId="17" fillId="0" borderId="0" xfId="0" applyNumberFormat="1" applyFont="1" applyFill="1" applyBorder="1" applyAlignment="1">
      <alignment horizontal="right" vertical="center" wrapText="1" indent="1"/>
    </xf>
    <xf numFmtId="3" fontId="25" fillId="0" borderId="0" xfId="0" applyNumberFormat="1" applyFont="1" applyFill="1" applyBorder="1" applyAlignment="1">
      <alignment horizontal="right" vertical="center" wrapText="1" indent="1"/>
    </xf>
    <xf numFmtId="0" fontId="26" fillId="0" borderId="0" xfId="0" applyFont="1" applyAlignment="1">
      <alignment/>
    </xf>
    <xf numFmtId="0" fontId="29" fillId="0" borderId="0" xfId="0" applyFont="1" applyAlignment="1">
      <alignment/>
    </xf>
    <xf numFmtId="0" fontId="29" fillId="0" borderId="0" xfId="0" applyFont="1" applyAlignment="1">
      <alignment horizontal="right"/>
    </xf>
    <xf numFmtId="0" fontId="35" fillId="0" borderId="0" xfId="0" applyFont="1" applyAlignment="1">
      <alignment/>
    </xf>
    <xf numFmtId="3" fontId="25" fillId="19" borderId="3" xfId="0" applyNumberFormat="1" applyFont="1" applyFill="1" applyBorder="1" applyAlignment="1">
      <alignment horizontal="center" vertical="center" wrapText="1"/>
    </xf>
    <xf numFmtId="3" fontId="25" fillId="13" borderId="3" xfId="0" applyNumberFormat="1" applyFont="1" applyFill="1" applyBorder="1" applyAlignment="1">
      <alignment horizontal="center" vertical="center" wrapText="1"/>
    </xf>
    <xf numFmtId="0" fontId="36" fillId="0" borderId="0" xfId="0" applyFont="1" applyBorder="1" applyAlignment="1">
      <alignment/>
    </xf>
    <xf numFmtId="3" fontId="25" fillId="13" borderId="3" xfId="0" applyNumberFormat="1" applyFont="1" applyFill="1" applyBorder="1" applyAlignment="1">
      <alignment horizontal="center" vertical="center" wrapText="1"/>
    </xf>
    <xf numFmtId="0" fontId="28" fillId="0" borderId="0" xfId="0" applyFont="1" applyAlignment="1">
      <alignment/>
    </xf>
    <xf numFmtId="3" fontId="11" fillId="19" borderId="3" xfId="0" applyNumberFormat="1" applyFont="1" applyFill="1" applyBorder="1" applyAlignment="1">
      <alignment horizontal="center" vertical="center" wrapText="1"/>
    </xf>
    <xf numFmtId="3" fontId="11" fillId="13" borderId="3" xfId="0" applyNumberFormat="1" applyFont="1" applyFill="1" applyBorder="1" applyAlignment="1">
      <alignment horizontal="center" vertical="center" wrapText="1"/>
    </xf>
    <xf numFmtId="3" fontId="14" fillId="0" borderId="3" xfId="0" applyNumberFormat="1" applyFont="1" applyFill="1" applyBorder="1" applyAlignment="1">
      <alignment horizontal="left" indent="1"/>
    </xf>
    <xf numFmtId="3" fontId="13" fillId="20" borderId="3" xfId="0" applyNumberFormat="1" applyFont="1" applyFill="1" applyBorder="1" applyAlignment="1">
      <alignment horizontal="left" indent="1"/>
    </xf>
    <xf numFmtId="3" fontId="32" fillId="0" borderId="3" xfId="0" applyNumberFormat="1" applyFont="1" applyFill="1" applyBorder="1" applyAlignment="1">
      <alignment horizontal="left" vertical="center" wrapText="1" indent="1"/>
    </xf>
    <xf numFmtId="3" fontId="11" fillId="7" borderId="3" xfId="0" applyNumberFormat="1" applyFont="1" applyFill="1" applyBorder="1" applyAlignment="1">
      <alignment horizontal="left" indent="1"/>
    </xf>
    <xf numFmtId="3" fontId="25" fillId="19" borderId="3" xfId="0" applyNumberFormat="1" applyFont="1" applyFill="1" applyBorder="1" applyAlignment="1">
      <alignment horizontal="center" vertical="center" wrapText="1"/>
    </xf>
    <xf numFmtId="0" fontId="8" fillId="0" borderId="3" xfId="0" applyFont="1" applyBorder="1" applyAlignment="1">
      <alignment/>
    </xf>
    <xf numFmtId="166" fontId="14" fillId="13" borderId="3" xfId="15" applyNumberFormat="1" applyFont="1" applyFill="1" applyBorder="1" applyAlignment="1">
      <alignment horizontal="right" vertical="center" wrapText="1" indent="1"/>
    </xf>
    <xf numFmtId="166" fontId="14" fillId="19" borderId="3" xfId="15" applyNumberFormat="1" applyFont="1" applyFill="1" applyBorder="1" applyAlignment="1">
      <alignment horizontal="right" vertical="center" wrapText="1" indent="1"/>
    </xf>
    <xf numFmtId="166" fontId="14" fillId="13" borderId="3" xfId="0" applyNumberFormat="1" applyFont="1" applyFill="1" applyBorder="1" applyAlignment="1">
      <alignment horizontal="right" indent="1"/>
    </xf>
    <xf numFmtId="166" fontId="14" fillId="19" borderId="3" xfId="0" applyNumberFormat="1" applyFont="1" applyFill="1" applyBorder="1" applyAlignment="1">
      <alignment horizontal="right" indent="1"/>
    </xf>
    <xf numFmtId="166" fontId="14" fillId="20" borderId="3" xfId="15" applyNumberFormat="1" applyFont="1" applyFill="1" applyBorder="1" applyAlignment="1">
      <alignment horizontal="right" vertical="center" wrapText="1" indent="1"/>
    </xf>
    <xf numFmtId="166" fontId="14" fillId="20" borderId="3" xfId="0" applyNumberFormat="1" applyFont="1" applyFill="1" applyBorder="1" applyAlignment="1">
      <alignment horizontal="right" indent="1"/>
    </xf>
    <xf numFmtId="3" fontId="11" fillId="20" borderId="3" xfId="15" applyNumberFormat="1" applyFont="1" applyFill="1" applyBorder="1" applyAlignment="1" applyProtection="1">
      <alignment horizontal="right" vertical="center" wrapText="1" indent="1"/>
      <protection locked="0"/>
    </xf>
    <xf numFmtId="166" fontId="11" fillId="20" borderId="3" xfId="15" applyNumberFormat="1" applyFont="1" applyFill="1" applyBorder="1" applyAlignment="1">
      <alignment horizontal="right" vertical="center" wrapText="1" indent="1"/>
    </xf>
    <xf numFmtId="166" fontId="11" fillId="20" borderId="3" xfId="0" applyNumberFormat="1" applyFont="1" applyFill="1" applyBorder="1" applyAlignment="1">
      <alignment horizontal="right" indent="1"/>
    </xf>
    <xf numFmtId="166" fontId="11" fillId="7" borderId="3" xfId="15" applyNumberFormat="1" applyFont="1" applyFill="1" applyBorder="1" applyAlignment="1">
      <alignment horizontal="right" vertical="center" wrapText="1" indent="1"/>
    </xf>
    <xf numFmtId="166" fontId="11" fillId="7" borderId="3" xfId="0" applyNumberFormat="1" applyFont="1" applyFill="1" applyBorder="1" applyAlignment="1">
      <alignment horizontal="right" indent="1"/>
    </xf>
    <xf numFmtId="0" fontId="0" fillId="0" borderId="0" xfId="0" applyFont="1" applyAlignment="1">
      <alignment/>
    </xf>
    <xf numFmtId="0" fontId="14" fillId="0" borderId="3" xfId="0" applyFont="1" applyBorder="1" applyAlignment="1">
      <alignment horizontal="left" indent="1"/>
    </xf>
    <xf numFmtId="3" fontId="8" fillId="0" borderId="3" xfId="0" applyNumberFormat="1" applyFont="1" applyFill="1" applyBorder="1" applyAlignment="1">
      <alignment horizontal="center" vertical="center" wrapText="1"/>
    </xf>
    <xf numFmtId="3" fontId="11" fillId="7" borderId="3" xfId="0" applyNumberFormat="1" applyFont="1" applyFill="1" applyBorder="1" applyAlignment="1">
      <alignment horizontal="left" vertical="center" wrapText="1" indent="1"/>
    </xf>
    <xf numFmtId="3" fontId="31" fillId="0" borderId="3" xfId="0" applyNumberFormat="1" applyFont="1" applyFill="1" applyBorder="1" applyAlignment="1">
      <alignment horizontal="center" vertical="center" wrapText="1"/>
    </xf>
    <xf numFmtId="3" fontId="25" fillId="0" borderId="3" xfId="0" applyNumberFormat="1" applyFont="1" applyFill="1" applyBorder="1" applyAlignment="1">
      <alignment horizontal="center" vertical="center" wrapText="1"/>
    </xf>
    <xf numFmtId="3" fontId="25" fillId="0" borderId="3" xfId="0" applyNumberFormat="1" applyFont="1" applyFill="1" applyBorder="1" applyAlignment="1">
      <alignment horizontal="center" vertical="center" wrapText="1"/>
    </xf>
    <xf numFmtId="3" fontId="25" fillId="0" borderId="4" xfId="0" applyNumberFormat="1" applyFont="1" applyFill="1" applyBorder="1" applyAlignment="1">
      <alignment vertical="center" wrapText="1"/>
    </xf>
    <xf numFmtId="3" fontId="32" fillId="0" borderId="3" xfId="0" applyNumberFormat="1" applyFont="1" applyFill="1" applyBorder="1" applyAlignment="1">
      <alignment horizontal="right" indent="1"/>
    </xf>
    <xf numFmtId="3" fontId="32" fillId="0" borderId="3" xfId="0" applyNumberFormat="1" applyFont="1" applyFill="1" applyBorder="1" applyAlignment="1">
      <alignment horizontal="right" vertical="center" wrapText="1" indent="1"/>
    </xf>
    <xf numFmtId="3" fontId="31" fillId="19" borderId="3" xfId="0" applyNumberFormat="1" applyFont="1" applyFill="1" applyBorder="1" applyAlignment="1">
      <alignment horizontal="right" vertical="center" wrapText="1" indent="1"/>
    </xf>
    <xf numFmtId="3" fontId="33" fillId="20" borderId="3" xfId="15" applyNumberFormat="1" applyFont="1" applyFill="1" applyBorder="1" applyAlignment="1">
      <alignment horizontal="right" indent="1"/>
    </xf>
    <xf numFmtId="3" fontId="33" fillId="20" borderId="3" xfId="0" applyNumberFormat="1" applyFont="1" applyFill="1" applyBorder="1" applyAlignment="1">
      <alignment horizontal="right" vertical="center" wrapText="1" indent="1"/>
    </xf>
    <xf numFmtId="0" fontId="14" fillId="0" borderId="3" xfId="0" applyFont="1" applyBorder="1" applyAlignment="1">
      <alignment horizontal="right" indent="1"/>
    </xf>
    <xf numFmtId="3" fontId="33" fillId="20" borderId="3" xfId="15" applyNumberFormat="1" applyFont="1" applyFill="1" applyBorder="1" applyAlignment="1">
      <alignment horizontal="right" indent="1"/>
    </xf>
    <xf numFmtId="3" fontId="11" fillId="7" borderId="3" xfId="15" applyNumberFormat="1" applyFont="1" applyFill="1" applyBorder="1" applyAlignment="1">
      <alignment horizontal="right" indent="1"/>
    </xf>
    <xf numFmtId="3" fontId="11" fillId="7" borderId="3" xfId="0" applyNumberFormat="1" applyFont="1" applyFill="1" applyBorder="1" applyAlignment="1">
      <alignment horizontal="right" vertical="center" wrapText="1" indent="1"/>
    </xf>
    <xf numFmtId="3" fontId="31" fillId="13" borderId="3" xfId="0" applyNumberFormat="1" applyFont="1" applyFill="1" applyBorder="1" applyAlignment="1">
      <alignment horizontal="right" vertical="center" wrapText="1" indent="1"/>
    </xf>
    <xf numFmtId="3" fontId="14" fillId="0" borderId="3" xfId="0" applyNumberFormat="1" applyFont="1" applyFill="1" applyBorder="1" applyAlignment="1">
      <alignment horizontal="right" vertical="center" wrapText="1" indent="1"/>
    </xf>
    <xf numFmtId="3" fontId="31" fillId="7" borderId="3" xfId="0" applyNumberFormat="1" applyFont="1" applyFill="1" applyBorder="1" applyAlignment="1">
      <alignment horizontal="left" vertical="center" wrapText="1" indent="1"/>
    </xf>
    <xf numFmtId="3" fontId="31" fillId="7" borderId="3" xfId="15" applyNumberFormat="1" applyFont="1" applyFill="1" applyBorder="1" applyAlignment="1">
      <alignment horizontal="right" indent="1"/>
    </xf>
    <xf numFmtId="3" fontId="32" fillId="0" borderId="3" xfId="0" applyNumberFormat="1" applyFont="1" applyFill="1" applyBorder="1" applyAlignment="1">
      <alignment horizontal="right" indent="1"/>
    </xf>
    <xf numFmtId="3" fontId="32" fillId="0" borderId="3" xfId="0" applyNumberFormat="1" applyFont="1" applyFill="1" applyBorder="1" applyAlignment="1">
      <alignment horizontal="right" vertical="center" wrapText="1" indent="1"/>
    </xf>
    <xf numFmtId="0" fontId="14" fillId="0" borderId="3" xfId="0" applyFont="1" applyBorder="1" applyAlignment="1">
      <alignment horizontal="right" indent="1"/>
    </xf>
    <xf numFmtId="3" fontId="31" fillId="19" borderId="3" xfId="0" applyNumberFormat="1" applyFont="1" applyFill="1" applyBorder="1" applyAlignment="1">
      <alignment horizontal="right" vertical="center" wrapText="1" indent="1"/>
    </xf>
    <xf numFmtId="3" fontId="31" fillId="13" borderId="4" xfId="0" applyNumberFormat="1" applyFont="1" applyFill="1" applyBorder="1" applyAlignment="1">
      <alignment horizontal="right" vertical="center" wrapText="1" indent="1"/>
    </xf>
    <xf numFmtId="3" fontId="31" fillId="13" borderId="3" xfId="0" applyNumberFormat="1" applyFont="1" applyFill="1" applyBorder="1" applyAlignment="1">
      <alignment horizontal="right" vertical="center" wrapText="1" indent="1"/>
    </xf>
    <xf numFmtId="3" fontId="33" fillId="20" borderId="5" xfId="0" applyNumberFormat="1" applyFont="1" applyFill="1" applyBorder="1" applyAlignment="1">
      <alignment horizontal="left" vertical="center" wrapText="1" indent="1"/>
    </xf>
    <xf numFmtId="3" fontId="33" fillId="20" borderId="5" xfId="15" applyNumberFormat="1" applyFont="1" applyFill="1" applyBorder="1" applyAlignment="1">
      <alignment horizontal="right" indent="1"/>
    </xf>
    <xf numFmtId="3" fontId="32" fillId="0" borderId="3" xfId="15" applyNumberFormat="1" applyFont="1" applyFill="1" applyBorder="1" applyAlignment="1">
      <alignment horizontal="right" indent="1"/>
    </xf>
    <xf numFmtId="0" fontId="14" fillId="0" borderId="3" xfId="0" applyFont="1" applyFill="1" applyBorder="1" applyAlignment="1">
      <alignment horizontal="right" indent="1"/>
    </xf>
    <xf numFmtId="3" fontId="33" fillId="20" borderId="3" xfId="0" applyNumberFormat="1" applyFont="1" applyFill="1" applyBorder="1" applyAlignment="1">
      <alignment horizontal="left" vertical="center" wrapText="1" indent="1"/>
    </xf>
    <xf numFmtId="3" fontId="33" fillId="20" borderId="3" xfId="0" applyNumberFormat="1" applyFont="1" applyFill="1" applyBorder="1" applyAlignment="1">
      <alignment horizontal="right" indent="1"/>
    </xf>
    <xf numFmtId="3" fontId="31" fillId="7" borderId="3" xfId="0" applyNumberFormat="1" applyFont="1" applyFill="1" applyBorder="1" applyAlignment="1">
      <alignment horizontal="left" vertical="center" wrapText="1" indent="1"/>
    </xf>
    <xf numFmtId="3" fontId="31" fillId="7" borderId="3" xfId="15" applyNumberFormat="1" applyFont="1" applyFill="1" applyBorder="1" applyAlignment="1">
      <alignment horizontal="right" indent="1"/>
    </xf>
    <xf numFmtId="3" fontId="31" fillId="7" borderId="3" xfId="0" applyNumberFormat="1" applyFont="1" applyFill="1" applyBorder="1" applyAlignment="1">
      <alignment horizontal="right" indent="1"/>
    </xf>
    <xf numFmtId="3" fontId="31" fillId="7" borderId="3" xfId="0" applyNumberFormat="1" applyFont="1" applyFill="1" applyBorder="1" applyAlignment="1">
      <alignment horizontal="right" vertical="center" wrapText="1" indent="1"/>
    </xf>
    <xf numFmtId="3" fontId="32" fillId="0" borderId="3" xfId="0" applyNumberFormat="1" applyFont="1" applyFill="1" applyBorder="1" applyAlignment="1" applyProtection="1">
      <alignment horizontal="right" vertical="center" wrapText="1" indent="1"/>
      <protection locked="0"/>
    </xf>
    <xf numFmtId="3" fontId="32" fillId="0" borderId="3" xfId="0" applyNumberFormat="1" applyFont="1" applyBorder="1" applyAlignment="1">
      <alignment horizontal="right" vertical="center" wrapText="1" indent="1"/>
    </xf>
    <xf numFmtId="3" fontId="33" fillId="20" borderId="3" xfId="0" applyNumberFormat="1" applyFont="1" applyFill="1" applyBorder="1" applyAlignment="1">
      <alignment horizontal="right" vertical="center" wrapText="1" indent="1"/>
    </xf>
    <xf numFmtId="0" fontId="28" fillId="0" borderId="3" xfId="0" applyFont="1" applyBorder="1" applyAlignment="1">
      <alignment horizontal="right" indent="1"/>
    </xf>
    <xf numFmtId="0" fontId="28" fillId="0" borderId="0" xfId="0" applyFont="1" applyBorder="1" applyAlignment="1">
      <alignment/>
    </xf>
    <xf numFmtId="0" fontId="29" fillId="0" borderId="0" xfId="0" applyFont="1" applyBorder="1" applyAlignment="1">
      <alignment/>
    </xf>
    <xf numFmtId="3" fontId="29" fillId="0" borderId="0" xfId="0" applyNumberFormat="1" applyFont="1" applyFill="1" applyBorder="1" applyAlignment="1">
      <alignment horizontal="right" vertical="top"/>
    </xf>
    <xf numFmtId="0" fontId="29" fillId="0" borderId="0" xfId="0" applyFont="1" applyAlignment="1">
      <alignment horizontal="right"/>
    </xf>
    <xf numFmtId="3" fontId="14" fillId="0" borderId="6" xfId="0" applyNumberFormat="1" applyFont="1" applyFill="1" applyBorder="1" applyAlignment="1">
      <alignment horizontal="left" vertical="center" wrapText="1" indent="1"/>
    </xf>
    <xf numFmtId="3" fontId="13" fillId="20" borderId="6" xfId="0" applyNumberFormat="1" applyFont="1" applyFill="1" applyBorder="1" applyAlignment="1">
      <alignment horizontal="left" vertical="center" wrapText="1" indent="1"/>
    </xf>
    <xf numFmtId="3" fontId="32" fillId="0" borderId="6" xfId="0" applyNumberFormat="1" applyFont="1" applyFill="1" applyBorder="1" applyAlignment="1">
      <alignment horizontal="left" vertical="center" wrapText="1" indent="1"/>
    </xf>
    <xf numFmtId="3" fontId="33" fillId="20" borderId="6" xfId="0" applyNumberFormat="1" applyFont="1" applyFill="1" applyBorder="1" applyAlignment="1">
      <alignment horizontal="left" vertical="center" wrapText="1" indent="1"/>
    </xf>
    <xf numFmtId="3" fontId="31" fillId="7" borderId="6" xfId="0" applyNumberFormat="1" applyFont="1" applyFill="1" applyBorder="1" applyAlignment="1">
      <alignment horizontal="left" vertical="center" wrapText="1" indent="1"/>
    </xf>
    <xf numFmtId="3" fontId="14" fillId="0" borderId="3" xfId="0" applyNumberFormat="1" applyFont="1" applyFill="1" applyBorder="1" applyAlignment="1" applyProtection="1">
      <alignment horizontal="right" vertical="center" wrapText="1" indent="1"/>
      <protection locked="0"/>
    </xf>
    <xf numFmtId="3" fontId="11" fillId="0" borderId="3" xfId="0" applyNumberFormat="1" applyFont="1" applyFill="1" applyBorder="1" applyAlignment="1">
      <alignment horizontal="right" vertical="center" wrapText="1" indent="1"/>
    </xf>
    <xf numFmtId="3" fontId="11" fillId="19" borderId="3" xfId="0" applyNumberFormat="1" applyFont="1" applyFill="1" applyBorder="1" applyAlignment="1">
      <alignment horizontal="right" indent="1"/>
    </xf>
    <xf numFmtId="3" fontId="11" fillId="13" borderId="3" xfId="0" applyNumberFormat="1" applyFont="1" applyFill="1" applyBorder="1" applyAlignment="1">
      <alignment horizontal="right" indent="1"/>
    </xf>
    <xf numFmtId="3" fontId="13" fillId="20" borderId="3" xfId="0" applyNumberFormat="1" applyFont="1" applyFill="1" applyBorder="1" applyAlignment="1">
      <alignment horizontal="right" vertical="center" wrapText="1" indent="1"/>
    </xf>
    <xf numFmtId="3" fontId="13" fillId="20" borderId="3" xfId="0" applyNumberFormat="1" applyFont="1" applyFill="1" applyBorder="1" applyAlignment="1">
      <alignment horizontal="right" vertical="center" wrapText="1" indent="1"/>
    </xf>
    <xf numFmtId="3" fontId="13" fillId="20" borderId="3" xfId="0" applyNumberFormat="1" applyFont="1" applyFill="1" applyBorder="1" applyAlignment="1">
      <alignment horizontal="right" indent="1"/>
    </xf>
    <xf numFmtId="3" fontId="32" fillId="0" borderId="3" xfId="0" applyNumberFormat="1" applyFont="1" applyFill="1" applyBorder="1" applyAlignment="1" applyProtection="1">
      <alignment horizontal="right" vertical="center" wrapText="1" indent="1"/>
      <protection locked="0"/>
    </xf>
    <xf numFmtId="3" fontId="31" fillId="0" borderId="3" xfId="0" applyNumberFormat="1" applyFont="1" applyFill="1" applyBorder="1" applyAlignment="1" applyProtection="1">
      <alignment horizontal="right" vertical="center" wrapText="1" indent="1"/>
      <protection locked="0"/>
    </xf>
    <xf numFmtId="3" fontId="31" fillId="7" borderId="3" xfId="0" applyNumberFormat="1" applyFont="1" applyFill="1" applyBorder="1" applyAlignment="1">
      <alignment horizontal="right" vertical="center" wrapText="1" indent="1"/>
    </xf>
    <xf numFmtId="3" fontId="11" fillId="7" borderId="3" xfId="0" applyNumberFormat="1" applyFont="1" applyFill="1" applyBorder="1" applyAlignment="1">
      <alignment horizontal="right" indent="1"/>
    </xf>
    <xf numFmtId="3" fontId="11" fillId="0" borderId="3" xfId="0" applyNumberFormat="1" applyFont="1" applyFill="1" applyBorder="1" applyAlignment="1">
      <alignment horizontal="center" vertical="center" wrapText="1"/>
    </xf>
    <xf numFmtId="0" fontId="27" fillId="0" borderId="0" xfId="0" applyFont="1" applyBorder="1" applyAlignment="1">
      <alignment vertical="top" wrapText="1"/>
    </xf>
    <xf numFmtId="3" fontId="14" fillId="0" borderId="3" xfId="0" applyNumberFormat="1" applyFont="1" applyFill="1" applyBorder="1" applyAlignment="1" applyProtection="1">
      <alignment horizontal="right" indent="1"/>
      <protection locked="0"/>
    </xf>
    <xf numFmtId="3" fontId="14" fillId="0" borderId="3" xfId="0" applyNumberFormat="1" applyFont="1" applyBorder="1" applyAlignment="1">
      <alignment horizontal="right" indent="1"/>
    </xf>
    <xf numFmtId="3" fontId="11" fillId="19" borderId="3" xfId="0" applyNumberFormat="1" applyFont="1" applyFill="1" applyBorder="1" applyAlignment="1">
      <alignment horizontal="right" indent="1"/>
    </xf>
    <xf numFmtId="3" fontId="11" fillId="13" borderId="3" xfId="0" applyNumberFormat="1" applyFont="1" applyFill="1" applyBorder="1" applyAlignment="1">
      <alignment horizontal="right" indent="1"/>
    </xf>
    <xf numFmtId="3" fontId="11" fillId="20" borderId="3" xfId="0" applyNumberFormat="1" applyFont="1" applyFill="1" applyBorder="1" applyAlignment="1">
      <alignment horizontal="right" indent="1"/>
    </xf>
    <xf numFmtId="3" fontId="14" fillId="0" borderId="3" xfId="0" applyNumberFormat="1" applyFont="1" applyFill="1" applyBorder="1" applyAlignment="1">
      <alignment horizontal="right" indent="1"/>
    </xf>
    <xf numFmtId="3" fontId="11" fillId="7" borderId="3" xfId="15" applyNumberFormat="1" applyFont="1" applyFill="1" applyBorder="1" applyAlignment="1">
      <alignment horizontal="right" indent="1"/>
    </xf>
    <xf numFmtId="3" fontId="5" fillId="0" borderId="0" xfId="0" applyNumberFormat="1" applyFont="1" applyBorder="1" applyAlignment="1">
      <alignment horizontal="right" indent="2"/>
    </xf>
    <xf numFmtId="0" fontId="27" fillId="0" borderId="0" xfId="0" applyFont="1" applyAlignment="1">
      <alignment/>
    </xf>
    <xf numFmtId="3" fontId="27" fillId="0" borderId="0" xfId="0" applyNumberFormat="1" applyFont="1" applyFill="1" applyBorder="1" applyAlignment="1">
      <alignment horizontal="right" vertical="top"/>
    </xf>
    <xf numFmtId="3" fontId="27" fillId="0" borderId="0" xfId="0" applyNumberFormat="1" applyFont="1" applyAlignment="1">
      <alignment/>
    </xf>
    <xf numFmtId="0" fontId="27" fillId="0" borderId="0" xfId="0" applyFont="1" applyAlignment="1">
      <alignment horizontal="right"/>
    </xf>
    <xf numFmtId="3" fontId="14" fillId="0" borderId="3" xfId="0" applyNumberFormat="1" applyFont="1" applyFill="1" applyBorder="1" applyAlignment="1">
      <alignment horizontal="left" vertical="center" wrapText="1" indent="1"/>
    </xf>
    <xf numFmtId="3" fontId="14" fillId="0" borderId="3" xfId="0" applyNumberFormat="1" applyFont="1" applyFill="1" applyBorder="1" applyAlignment="1" applyProtection="1">
      <alignment horizontal="right" vertical="center" wrapText="1" indent="2"/>
      <protection locked="0"/>
    </xf>
    <xf numFmtId="3" fontId="14" fillId="0" borderId="3" xfId="0" applyNumberFormat="1" applyFont="1" applyBorder="1" applyAlignment="1">
      <alignment horizontal="right" vertical="center" wrapText="1" indent="2"/>
    </xf>
    <xf numFmtId="3" fontId="11" fillId="19" borderId="3" xfId="0" applyNumberFormat="1" applyFont="1" applyFill="1" applyBorder="1" applyAlignment="1">
      <alignment horizontal="right" vertical="center" wrapText="1" indent="2"/>
    </xf>
    <xf numFmtId="3" fontId="11" fillId="13" borderId="3" xfId="0" applyNumberFormat="1" applyFont="1" applyFill="1" applyBorder="1" applyAlignment="1">
      <alignment horizontal="right" vertical="center" wrapText="1" indent="2"/>
    </xf>
    <xf numFmtId="3" fontId="13" fillId="20" borderId="3" xfId="0" applyNumberFormat="1" applyFont="1" applyFill="1" applyBorder="1" applyAlignment="1">
      <alignment horizontal="left" vertical="center" wrapText="1" indent="1"/>
    </xf>
    <xf numFmtId="3" fontId="13" fillId="20" borderId="3" xfId="0" applyNumberFormat="1" applyFont="1" applyFill="1" applyBorder="1" applyAlignment="1">
      <alignment horizontal="right" vertical="center" wrapText="1" indent="2"/>
    </xf>
    <xf numFmtId="3" fontId="13" fillId="20" borderId="3" xfId="15" applyNumberFormat="1" applyFont="1" applyFill="1" applyBorder="1" applyAlignment="1">
      <alignment horizontal="right" indent="2"/>
    </xf>
    <xf numFmtId="3" fontId="11" fillId="7" borderId="3" xfId="0" applyNumberFormat="1" applyFont="1" applyFill="1" applyBorder="1" applyAlignment="1">
      <alignment horizontal="left" vertical="center" wrapText="1" indent="1"/>
    </xf>
    <xf numFmtId="3" fontId="11" fillId="7" borderId="3" xfId="15" applyNumberFormat="1" applyFont="1" applyFill="1" applyBorder="1" applyAlignment="1">
      <alignment horizontal="right" indent="2"/>
    </xf>
    <xf numFmtId="3" fontId="14" fillId="0" borderId="3" xfId="0" applyNumberFormat="1" applyFont="1" applyFill="1" applyBorder="1" applyAlignment="1">
      <alignment horizontal="right" vertical="center" wrapText="1" indent="2"/>
    </xf>
    <xf numFmtId="0" fontId="27" fillId="0" borderId="0" xfId="22" applyFont="1">
      <alignment/>
      <protection/>
    </xf>
    <xf numFmtId="3" fontId="10" fillId="0" borderId="0" xfId="22" applyNumberFormat="1" applyFont="1" applyBorder="1" applyAlignment="1">
      <alignment horizontal="right" indent="3"/>
      <protection/>
    </xf>
    <xf numFmtId="0" fontId="38" fillId="0" borderId="0" xfId="22" applyFont="1" applyBorder="1">
      <alignment/>
      <protection/>
    </xf>
    <xf numFmtId="0" fontId="27" fillId="0" borderId="0" xfId="22" applyFont="1" applyBorder="1" applyAlignment="1">
      <alignment horizontal="right"/>
      <protection/>
    </xf>
    <xf numFmtId="3" fontId="27" fillId="0" borderId="0" xfId="22" applyNumberFormat="1" applyFont="1" applyFill="1" applyBorder="1" applyAlignment="1">
      <alignment horizontal="left"/>
      <protection/>
    </xf>
    <xf numFmtId="3" fontId="14" fillId="0" borderId="3" xfId="22" applyNumberFormat="1" applyFont="1" applyFill="1" applyBorder="1" applyAlignment="1">
      <alignment horizontal="left" indent="1"/>
      <protection/>
    </xf>
    <xf numFmtId="3" fontId="14" fillId="0" borderId="3" xfId="22" applyNumberFormat="1" applyFont="1" applyFill="1" applyBorder="1" applyAlignment="1" applyProtection="1">
      <alignment horizontal="right" indent="2"/>
      <protection locked="0"/>
    </xf>
    <xf numFmtId="3" fontId="14" fillId="0" borderId="3" xfId="22" applyNumberFormat="1" applyFont="1" applyBorder="1" applyAlignment="1">
      <alignment horizontal="right" indent="2"/>
      <protection/>
    </xf>
    <xf numFmtId="3" fontId="11" fillId="19" borderId="3" xfId="22" applyNumberFormat="1" applyFont="1" applyFill="1" applyBorder="1" applyAlignment="1">
      <alignment horizontal="right" indent="2"/>
      <protection/>
    </xf>
    <xf numFmtId="3" fontId="11" fillId="13" borderId="3" xfId="22" applyNumberFormat="1" applyFont="1" applyFill="1" applyBorder="1" applyAlignment="1">
      <alignment horizontal="right" indent="2"/>
      <protection/>
    </xf>
    <xf numFmtId="3" fontId="11" fillId="20" borderId="3" xfId="22" applyNumberFormat="1" applyFont="1" applyFill="1" applyBorder="1" applyAlignment="1">
      <alignment horizontal="left" vertical="center" wrapText="1" indent="1"/>
      <protection/>
    </xf>
    <xf numFmtId="3" fontId="11" fillId="20" borderId="3" xfId="22" applyNumberFormat="1" applyFont="1" applyFill="1" applyBorder="1" applyAlignment="1">
      <alignment horizontal="right" indent="2"/>
      <protection/>
    </xf>
    <xf numFmtId="0" fontId="27" fillId="0" borderId="0" xfId="0" applyFont="1" applyFill="1" applyBorder="1" applyAlignment="1">
      <alignment horizontal="right"/>
    </xf>
    <xf numFmtId="3" fontId="27" fillId="0" borderId="0" xfId="25" applyNumberFormat="1" applyFont="1" applyBorder="1" applyAlignment="1">
      <alignment horizontal="right" vertical="center"/>
      <protection/>
    </xf>
    <xf numFmtId="166" fontId="0" fillId="0" borderId="0" xfId="0" applyNumberFormat="1" applyAlignment="1">
      <alignment/>
    </xf>
    <xf numFmtId="165" fontId="7" fillId="0" borderId="0" xfId="0" applyNumberFormat="1" applyFont="1" applyAlignment="1">
      <alignment/>
    </xf>
    <xf numFmtId="178" fontId="0" fillId="0" borderId="0" xfId="0" applyNumberFormat="1" applyAlignment="1">
      <alignment/>
    </xf>
    <xf numFmtId="3" fontId="7" fillId="0" borderId="0" xfId="0" applyNumberFormat="1" applyFont="1" applyBorder="1" applyAlignment="1">
      <alignment horizontal="left" vertical="center" wrapText="1"/>
    </xf>
    <xf numFmtId="3" fontId="6" fillId="0" borderId="0" xfId="0" applyNumberFormat="1" applyFont="1" applyBorder="1" applyAlignment="1">
      <alignment horizontal="center" vertical="center" wrapText="1"/>
    </xf>
    <xf numFmtId="3" fontId="6" fillId="0" borderId="0" xfId="0" applyNumberFormat="1" applyFont="1" applyBorder="1" applyAlignment="1">
      <alignment horizontal="left" vertical="center" wrapText="1"/>
    </xf>
    <xf numFmtId="3" fontId="7" fillId="0" borderId="0" xfId="0" applyNumberFormat="1" applyFont="1" applyFill="1" applyBorder="1" applyAlignment="1">
      <alignment horizontal="left" vertical="center" wrapText="1"/>
    </xf>
    <xf numFmtId="3" fontId="7" fillId="0" borderId="0" xfId="0" applyNumberFormat="1" applyFont="1" applyBorder="1" applyAlignment="1">
      <alignment horizontal="right" vertical="center" wrapText="1"/>
    </xf>
    <xf numFmtId="3" fontId="8" fillId="0" borderId="3" xfId="0" applyNumberFormat="1" applyFont="1" applyBorder="1" applyAlignment="1">
      <alignment horizontal="center" vertical="center" wrapText="1"/>
    </xf>
    <xf numFmtId="3" fontId="5" fillId="0" borderId="0" xfId="0" applyNumberFormat="1" applyFont="1" applyFill="1" applyBorder="1" applyAlignment="1">
      <alignment horizontal="left" vertical="center"/>
    </xf>
    <xf numFmtId="3" fontId="27" fillId="0" borderId="0" xfId="0" applyNumberFormat="1" applyFont="1" applyBorder="1" applyAlignment="1">
      <alignment horizontal="right" vertical="center"/>
    </xf>
    <xf numFmtId="3" fontId="27" fillId="0" borderId="0" xfId="0" applyNumberFormat="1" applyFont="1" applyFill="1" applyBorder="1" applyAlignment="1">
      <alignment horizontal="left" vertical="center"/>
    </xf>
    <xf numFmtId="3" fontId="12" fillId="0" borderId="3" xfId="0" applyNumberFormat="1" applyFont="1" applyFill="1" applyBorder="1" applyAlignment="1">
      <alignment horizontal="center" vertical="center" wrapText="1"/>
    </xf>
    <xf numFmtId="3" fontId="12" fillId="13" borderId="3" xfId="0" applyNumberFormat="1" applyFont="1" applyFill="1" applyBorder="1" applyAlignment="1">
      <alignment horizontal="center" vertical="center" wrapText="1"/>
    </xf>
    <xf numFmtId="3" fontId="12" fillId="19" borderId="3" xfId="0" applyNumberFormat="1" applyFont="1" applyFill="1" applyBorder="1" applyAlignment="1">
      <alignment horizontal="center" vertical="center" wrapText="1"/>
    </xf>
    <xf numFmtId="165" fontId="14" fillId="0" borderId="3" xfId="15" applyNumberFormat="1" applyFont="1" applyFill="1" applyBorder="1" applyAlignment="1">
      <alignment horizontal="right" vertical="center" wrapText="1" indent="2"/>
    </xf>
    <xf numFmtId="3" fontId="14" fillId="13" borderId="3" xfId="15" applyNumberFormat="1" applyFont="1" applyFill="1" applyBorder="1" applyAlignment="1">
      <alignment horizontal="right" vertical="center" wrapText="1" indent="1"/>
    </xf>
    <xf numFmtId="165" fontId="14" fillId="0" borderId="3" xfId="15" applyNumberFormat="1" applyFont="1" applyBorder="1" applyAlignment="1">
      <alignment horizontal="right" vertical="center" wrapText="1" indent="2"/>
    </xf>
    <xf numFmtId="3" fontId="14" fillId="19" borderId="3" xfId="15" applyNumberFormat="1" applyFont="1" applyFill="1" applyBorder="1" applyAlignment="1">
      <alignment horizontal="right" vertical="center" wrapText="1" indent="1"/>
    </xf>
    <xf numFmtId="165" fontId="11" fillId="20" borderId="3" xfId="15" applyNumberFormat="1" applyFont="1" applyFill="1" applyBorder="1" applyAlignment="1">
      <alignment horizontal="right" vertical="center" wrapText="1" indent="2"/>
    </xf>
    <xf numFmtId="3" fontId="11" fillId="20" borderId="3" xfId="15" applyNumberFormat="1" applyFont="1" applyFill="1" applyBorder="1" applyAlignment="1">
      <alignment horizontal="right" vertical="center" wrapText="1" indent="1"/>
    </xf>
    <xf numFmtId="0" fontId="27" fillId="0" borderId="0" xfId="0" applyFont="1" applyFill="1" applyBorder="1" applyAlignment="1">
      <alignment wrapText="1"/>
    </xf>
    <xf numFmtId="0" fontId="38" fillId="0" borderId="0" xfId="0" applyFont="1" applyFill="1" applyBorder="1" applyAlignment="1">
      <alignment/>
    </xf>
    <xf numFmtId="0" fontId="38" fillId="0" borderId="0" xfId="0" applyFont="1" applyFill="1" applyBorder="1" applyAlignment="1">
      <alignment horizontal="right"/>
    </xf>
    <xf numFmtId="0" fontId="38" fillId="0" borderId="0" xfId="0" applyFont="1" applyAlignment="1">
      <alignment/>
    </xf>
    <xf numFmtId="166" fontId="12" fillId="19" borderId="3" xfId="29" applyNumberFormat="1" applyFont="1" applyFill="1" applyBorder="1" applyAlignment="1">
      <alignment horizontal="right" vertical="center" wrapText="1" indent="1"/>
    </xf>
    <xf numFmtId="3" fontId="14" fillId="0" borderId="3" xfId="0" applyNumberFormat="1" applyFont="1" applyBorder="1" applyAlignment="1">
      <alignment horizontal="right" vertical="center" wrapText="1" indent="1"/>
    </xf>
    <xf numFmtId="3" fontId="12" fillId="0" borderId="3"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3" fontId="13" fillId="7" borderId="3" xfId="0" applyNumberFormat="1" applyFont="1" applyFill="1" applyBorder="1" applyAlignment="1">
      <alignment horizontal="center" vertical="center" wrapText="1"/>
    </xf>
    <xf numFmtId="3" fontId="13" fillId="7" borderId="3" xfId="0" applyNumberFormat="1" applyFont="1" applyFill="1" applyBorder="1" applyAlignment="1">
      <alignment horizontal="right" vertical="center" wrapText="1" indent="1"/>
    </xf>
    <xf numFmtId="166" fontId="13" fillId="7" borderId="3" xfId="29" applyNumberFormat="1" applyFont="1" applyFill="1" applyBorder="1" applyAlignment="1">
      <alignment horizontal="right" vertical="center" wrapText="1" indent="1"/>
    </xf>
    <xf numFmtId="3" fontId="14" fillId="0" borderId="3" xfId="0" applyNumberFormat="1" applyFont="1" applyFill="1" applyBorder="1" applyAlignment="1">
      <alignment horizontal="center" vertical="center" wrapText="1"/>
    </xf>
    <xf numFmtId="3" fontId="6" fillId="19" borderId="3" xfId="0" applyNumberFormat="1" applyFont="1" applyFill="1" applyBorder="1" applyAlignment="1">
      <alignment horizontal="center" vertical="center" wrapText="1"/>
    </xf>
    <xf numFmtId="3" fontId="14" fillId="0" borderId="3" xfId="25" applyNumberFormat="1" applyFont="1" applyFill="1" applyBorder="1" applyAlignment="1">
      <alignment horizontal="left" vertical="center" wrapText="1" indent="1"/>
      <protection/>
    </xf>
    <xf numFmtId="3" fontId="14" fillId="0" borderId="3" xfId="15" applyNumberFormat="1" applyFont="1" applyFill="1" applyBorder="1" applyAlignment="1">
      <alignment horizontal="right" vertical="center" wrapText="1" indent="1"/>
    </xf>
    <xf numFmtId="3" fontId="14" fillId="0" borderId="3" xfId="15" applyNumberFormat="1" applyFont="1" applyBorder="1" applyAlignment="1">
      <alignment horizontal="right" vertical="center" wrapText="1" indent="1"/>
    </xf>
    <xf numFmtId="3" fontId="14" fillId="19" borderId="3" xfId="15" applyNumberFormat="1" applyFont="1" applyFill="1" applyBorder="1" applyAlignment="1">
      <alignment horizontal="right" vertical="center" wrapText="1" indent="1"/>
    </xf>
    <xf numFmtId="3" fontId="14" fillId="13" borderId="3" xfId="15" applyNumberFormat="1" applyFont="1" applyFill="1" applyBorder="1" applyAlignment="1">
      <alignment horizontal="right" vertical="center" wrapText="1" indent="1"/>
    </xf>
    <xf numFmtId="3" fontId="14" fillId="0" borderId="3" xfId="25" applyNumberFormat="1" applyFont="1" applyBorder="1" applyAlignment="1">
      <alignment horizontal="right" vertical="center" wrapText="1" indent="1"/>
      <protection/>
    </xf>
    <xf numFmtId="3" fontId="14" fillId="19" borderId="3" xfId="25" applyNumberFormat="1" applyFont="1" applyFill="1" applyBorder="1" applyAlignment="1">
      <alignment horizontal="right" vertical="center" wrapText="1" indent="1"/>
      <protection/>
    </xf>
    <xf numFmtId="3" fontId="14" fillId="13" borderId="3" xfId="25" applyNumberFormat="1" applyFont="1" applyFill="1" applyBorder="1" applyAlignment="1">
      <alignment horizontal="right" vertical="center" wrapText="1" indent="1"/>
      <protection/>
    </xf>
    <xf numFmtId="3" fontId="11" fillId="20" borderId="3" xfId="25" applyNumberFormat="1" applyFont="1" applyFill="1" applyBorder="1" applyAlignment="1">
      <alignment horizontal="left" vertical="center" wrapText="1" indent="1"/>
      <protection/>
    </xf>
    <xf numFmtId="3" fontId="11" fillId="20" borderId="3" xfId="25" applyNumberFormat="1" applyFont="1" applyFill="1" applyBorder="1" applyAlignment="1">
      <alignment horizontal="right" vertical="center" wrapText="1" indent="1"/>
      <protection/>
    </xf>
    <xf numFmtId="3" fontId="14" fillId="13" borderId="3" xfId="25" applyNumberFormat="1" applyFont="1" applyFill="1" applyBorder="1" applyAlignment="1">
      <alignment horizontal="right" vertical="center" wrapText="1" indent="1"/>
      <protection/>
    </xf>
    <xf numFmtId="3" fontId="11" fillId="20" borderId="3" xfId="25" applyNumberFormat="1" applyFont="1" applyFill="1" applyBorder="1" applyAlignment="1">
      <alignment horizontal="right" vertical="center" wrapText="1" indent="1"/>
      <protection/>
    </xf>
    <xf numFmtId="3" fontId="9" fillId="0" borderId="0" xfId="21" applyNumberFormat="1" applyFont="1" applyBorder="1" applyAlignment="1">
      <alignment vertical="center" wrapText="1"/>
      <protection/>
    </xf>
    <xf numFmtId="3" fontId="8" fillId="0" borderId="3" xfId="21" applyNumberFormat="1" applyFont="1" applyBorder="1" applyAlignment="1">
      <alignment horizontal="center" vertical="center" wrapText="1"/>
      <protection/>
    </xf>
    <xf numFmtId="3" fontId="8" fillId="19" borderId="3" xfId="21" applyNumberFormat="1" applyFont="1" applyFill="1" applyBorder="1" applyAlignment="1">
      <alignment horizontal="center" vertical="center" wrapText="1"/>
      <protection/>
    </xf>
    <xf numFmtId="3" fontId="11" fillId="0" borderId="3" xfId="21" applyNumberFormat="1" applyFont="1" applyBorder="1" applyAlignment="1">
      <alignment horizontal="center" vertical="center" wrapText="1"/>
      <protection/>
    </xf>
    <xf numFmtId="3" fontId="7" fillId="0" borderId="0" xfId="21" applyNumberFormat="1" applyFont="1" applyBorder="1" applyAlignment="1">
      <alignment horizontal="center" vertical="center" wrapText="1"/>
      <protection/>
    </xf>
    <xf numFmtId="3" fontId="7" fillId="0" borderId="3" xfId="21" applyNumberFormat="1" applyFont="1" applyBorder="1" applyAlignment="1">
      <alignment horizontal="left" vertical="center" wrapText="1" indent="1"/>
      <protection/>
    </xf>
    <xf numFmtId="3" fontId="7" fillId="0" borderId="3" xfId="21" applyNumberFormat="1" applyFont="1" applyBorder="1" applyAlignment="1">
      <alignment horizontal="right" indent="3"/>
      <protection/>
    </xf>
    <xf numFmtId="3" fontId="8" fillId="19" borderId="3" xfId="21" applyNumberFormat="1" applyFont="1" applyFill="1" applyBorder="1" applyAlignment="1">
      <alignment horizontal="right" vertical="center" wrapText="1" indent="3"/>
      <protection/>
    </xf>
    <xf numFmtId="166" fontId="10" fillId="0" borderId="3" xfId="21" applyNumberFormat="1" applyFont="1" applyBorder="1" applyAlignment="1">
      <alignment horizontal="right" vertical="center" wrapText="1" indent="2"/>
      <protection/>
    </xf>
    <xf numFmtId="3" fontId="7" fillId="0" borderId="3" xfId="21" applyNumberFormat="1" applyFont="1" applyBorder="1" applyAlignment="1">
      <alignment horizontal="right" vertical="center" wrapText="1" indent="2"/>
      <protection/>
    </xf>
    <xf numFmtId="3" fontId="8" fillId="19" borderId="3" xfId="21" applyNumberFormat="1" applyFont="1" applyFill="1" applyBorder="1" applyAlignment="1">
      <alignment horizontal="right" vertical="center" wrapText="1" indent="2"/>
      <protection/>
    </xf>
    <xf numFmtId="4" fontId="7" fillId="0" borderId="0" xfId="21" applyNumberFormat="1" applyFont="1" applyBorder="1" applyAlignment="1">
      <alignment vertical="center" wrapText="1"/>
      <protection/>
    </xf>
    <xf numFmtId="3" fontId="7" fillId="0" borderId="0" xfId="21" applyNumberFormat="1" applyFont="1" applyBorder="1" applyAlignment="1">
      <alignment vertical="center" wrapText="1"/>
      <protection/>
    </xf>
    <xf numFmtId="3" fontId="8" fillId="20" borderId="3" xfId="21" applyNumberFormat="1" applyFont="1" applyFill="1" applyBorder="1" applyAlignment="1">
      <alignment horizontal="left" vertical="center" wrapText="1" indent="1"/>
      <protection/>
    </xf>
    <xf numFmtId="3" fontId="8" fillId="20" borderId="3" xfId="21" applyNumberFormat="1" applyFont="1" applyFill="1" applyBorder="1" applyAlignment="1">
      <alignment horizontal="right" vertical="center" wrapText="1" indent="3"/>
      <protection/>
    </xf>
    <xf numFmtId="166" fontId="6" fillId="20" borderId="3" xfId="21" applyNumberFormat="1" applyFont="1" applyFill="1" applyBorder="1" applyAlignment="1">
      <alignment horizontal="right" vertical="center" wrapText="1" indent="2"/>
      <protection/>
    </xf>
    <xf numFmtId="3" fontId="8" fillId="20" borderId="3" xfId="21" applyNumberFormat="1" applyFont="1" applyFill="1" applyBorder="1" applyAlignment="1">
      <alignment horizontal="right" vertical="center" wrapText="1" indent="2"/>
      <protection/>
    </xf>
    <xf numFmtId="4" fontId="8" fillId="0" borderId="0" xfId="21" applyNumberFormat="1" applyFont="1" applyBorder="1" applyAlignment="1">
      <alignment vertical="center" wrapText="1"/>
      <protection/>
    </xf>
    <xf numFmtId="3" fontId="8" fillId="0" borderId="0" xfId="21" applyNumberFormat="1" applyFont="1" applyBorder="1" applyAlignment="1">
      <alignment vertical="center" wrapText="1"/>
      <protection/>
    </xf>
    <xf numFmtId="3" fontId="5" fillId="0" borderId="0" xfId="21" applyNumberFormat="1" applyFont="1" applyBorder="1" applyAlignment="1">
      <alignment horizontal="right" vertical="center"/>
      <protection/>
    </xf>
    <xf numFmtId="0" fontId="7" fillId="0" borderId="0" xfId="21" applyFont="1" applyBorder="1" applyAlignment="1">
      <alignment vertical="center" wrapText="1"/>
      <protection/>
    </xf>
    <xf numFmtId="0" fontId="8" fillId="0" borderId="3" xfId="21" applyFont="1" applyBorder="1" applyAlignment="1">
      <alignment horizontal="center" vertical="center" wrapText="1"/>
      <protection/>
    </xf>
    <xf numFmtId="0" fontId="8" fillId="19" borderId="3" xfId="21" applyFont="1" applyFill="1" applyBorder="1" applyAlignment="1">
      <alignment horizontal="center" vertical="center" wrapText="1"/>
      <protection/>
    </xf>
    <xf numFmtId="0" fontId="7" fillId="0" borderId="3" xfId="21" applyFont="1" applyBorder="1" applyAlignment="1">
      <alignment horizontal="left" vertical="center" wrapText="1" indent="1"/>
      <protection/>
    </xf>
    <xf numFmtId="2" fontId="7" fillId="0" borderId="0" xfId="21" applyNumberFormat="1" applyFont="1" applyBorder="1" applyAlignment="1">
      <alignment vertical="center" wrapText="1"/>
      <protection/>
    </xf>
    <xf numFmtId="1" fontId="8" fillId="20" borderId="3" xfId="21" applyNumberFormat="1" applyFont="1" applyFill="1" applyBorder="1" applyAlignment="1">
      <alignment horizontal="left" vertical="center" wrapText="1" indent="1"/>
      <protection/>
    </xf>
    <xf numFmtId="0" fontId="7" fillId="0" borderId="0" xfId="21" applyFont="1">
      <alignment/>
      <protection/>
    </xf>
    <xf numFmtId="0" fontId="7" fillId="0" borderId="3" xfId="21" applyFont="1" applyBorder="1" applyAlignment="1">
      <alignment horizontal="left" indent="1"/>
      <protection/>
    </xf>
    <xf numFmtId="0" fontId="7" fillId="0" borderId="3" xfId="21" applyFont="1" applyBorder="1" applyAlignment="1">
      <alignment horizontal="right" indent="4"/>
      <protection/>
    </xf>
    <xf numFmtId="0" fontId="7" fillId="0" borderId="3" xfId="21" applyNumberFormat="1" applyFont="1" applyBorder="1" applyAlignment="1">
      <alignment horizontal="right" indent="4"/>
      <protection/>
    </xf>
    <xf numFmtId="0" fontId="8" fillId="19" borderId="3" xfId="21" applyNumberFormat="1" applyFont="1" applyFill="1" applyBorder="1" applyAlignment="1">
      <alignment horizontal="right" indent="3"/>
      <protection/>
    </xf>
    <xf numFmtId="166" fontId="10" fillId="0" borderId="3" xfId="21" applyNumberFormat="1" applyFont="1" applyBorder="1" applyAlignment="1">
      <alignment horizontal="right" indent="2"/>
      <protection/>
    </xf>
    <xf numFmtId="3" fontId="8" fillId="19" borderId="3" xfId="21" applyNumberFormat="1" applyFont="1" applyFill="1" applyBorder="1" applyAlignment="1">
      <alignment horizontal="right" indent="3"/>
      <protection/>
    </xf>
    <xf numFmtId="2" fontId="7" fillId="0" borderId="0" xfId="21" applyNumberFormat="1" applyFont="1">
      <alignment/>
      <protection/>
    </xf>
    <xf numFmtId="3" fontId="7" fillId="0" borderId="3" xfId="21" applyNumberFormat="1" applyFont="1" applyBorder="1" applyAlignment="1">
      <alignment horizontal="left" vertical="center" indent="1"/>
      <protection/>
    </xf>
    <xf numFmtId="0" fontId="8" fillId="20" borderId="3" xfId="21" applyFont="1" applyFill="1" applyBorder="1" applyAlignment="1">
      <alignment horizontal="left" indent="1"/>
      <protection/>
    </xf>
    <xf numFmtId="3" fontId="8" fillId="20" borderId="3" xfId="21" applyNumberFormat="1" applyFont="1" applyFill="1" applyBorder="1" applyAlignment="1">
      <alignment horizontal="right" indent="4"/>
      <protection/>
    </xf>
    <xf numFmtId="3" fontId="8" fillId="20" borderId="3" xfId="21" applyNumberFormat="1" applyFont="1" applyFill="1" applyBorder="1" applyAlignment="1">
      <alignment horizontal="right" indent="3"/>
      <protection/>
    </xf>
    <xf numFmtId="166" fontId="6" fillId="20" borderId="3" xfId="21" applyNumberFormat="1" applyFont="1" applyFill="1" applyBorder="1" applyAlignment="1">
      <alignment horizontal="right" indent="2"/>
      <protection/>
    </xf>
    <xf numFmtId="0" fontId="8" fillId="0" borderId="0" xfId="21" applyFont="1">
      <alignment/>
      <protection/>
    </xf>
    <xf numFmtId="3" fontId="7" fillId="0" borderId="3" xfId="21" applyNumberFormat="1" applyFont="1" applyFill="1" applyBorder="1" applyAlignment="1">
      <alignment horizontal="left" vertical="center" wrapText="1" indent="1"/>
      <protection/>
    </xf>
    <xf numFmtId="3" fontId="7" fillId="0" borderId="3" xfId="21" applyNumberFormat="1" applyFont="1" applyFill="1" applyBorder="1" applyAlignment="1">
      <alignment horizontal="right" indent="4"/>
      <protection/>
    </xf>
    <xf numFmtId="3" fontId="7" fillId="0" borderId="3" xfId="21" applyNumberFormat="1" applyFont="1" applyFill="1" applyBorder="1" applyAlignment="1">
      <alignment horizontal="right" vertical="center" wrapText="1" indent="4"/>
      <protection/>
    </xf>
    <xf numFmtId="166" fontId="10" fillId="0" borderId="3" xfId="21" applyNumberFormat="1" applyFont="1" applyFill="1" applyBorder="1" applyAlignment="1">
      <alignment horizontal="right" vertical="center" wrapText="1" indent="2"/>
      <protection/>
    </xf>
    <xf numFmtId="3" fontId="7" fillId="0" borderId="3" xfId="21" applyNumberFormat="1" applyFont="1" applyFill="1" applyBorder="1" applyAlignment="1">
      <alignment horizontal="right" vertical="center" wrapText="1" indent="3"/>
      <protection/>
    </xf>
    <xf numFmtId="3" fontId="7" fillId="0" borderId="0" xfId="21" applyNumberFormat="1" applyFont="1" applyFill="1" applyBorder="1" applyAlignment="1">
      <alignment vertical="center" wrapText="1"/>
      <protection/>
    </xf>
    <xf numFmtId="3" fontId="8" fillId="20" borderId="3" xfId="21" applyNumberFormat="1" applyFont="1" applyFill="1" applyBorder="1" applyAlignment="1">
      <alignment horizontal="right" vertical="center" wrapText="1" indent="4"/>
      <protection/>
    </xf>
    <xf numFmtId="0" fontId="2" fillId="0" borderId="0" xfId="21">
      <alignment/>
      <protection/>
    </xf>
    <xf numFmtId="3" fontId="8" fillId="0" borderId="7" xfId="21" applyNumberFormat="1" applyFont="1" applyBorder="1" applyAlignment="1">
      <alignment horizontal="center" vertical="center" wrapText="1"/>
      <protection/>
    </xf>
    <xf numFmtId="3" fontId="8" fillId="19" borderId="7" xfId="21" applyNumberFormat="1" applyFont="1" applyFill="1" applyBorder="1" applyAlignment="1">
      <alignment horizontal="center" vertical="center" wrapText="1"/>
      <protection/>
    </xf>
    <xf numFmtId="3" fontId="7" fillId="0" borderId="3" xfId="21" applyNumberFormat="1" applyFont="1" applyBorder="1" applyAlignment="1">
      <alignment horizontal="right" wrapText="1" indent="4"/>
      <protection/>
    </xf>
    <xf numFmtId="3" fontId="8" fillId="19" borderId="3" xfId="21" applyNumberFormat="1" applyFont="1" applyFill="1" applyBorder="1" applyAlignment="1">
      <alignment horizontal="right" wrapText="1" indent="3"/>
      <protection/>
    </xf>
    <xf numFmtId="166" fontId="10" fillId="0" borderId="3" xfId="21" applyNumberFormat="1" applyFont="1" applyBorder="1" applyAlignment="1">
      <alignment horizontal="right" wrapText="1" indent="2"/>
      <protection/>
    </xf>
    <xf numFmtId="3" fontId="8" fillId="19" borderId="3" xfId="21" applyNumberFormat="1" applyFont="1" applyFill="1" applyBorder="1" applyAlignment="1">
      <alignment horizontal="right" wrapText="1" indent="2"/>
      <protection/>
    </xf>
    <xf numFmtId="3" fontId="8" fillId="20" borderId="3" xfId="21" applyNumberFormat="1" applyFont="1" applyFill="1" applyBorder="1" applyAlignment="1">
      <alignment horizontal="right" wrapText="1" indent="4"/>
      <protection/>
    </xf>
    <xf numFmtId="3" fontId="8" fillId="20" borderId="3" xfId="21" applyNumberFormat="1" applyFont="1" applyFill="1" applyBorder="1" applyAlignment="1">
      <alignment horizontal="right" wrapText="1" indent="3"/>
      <protection/>
    </xf>
    <xf numFmtId="166" fontId="6" fillId="20" borderId="3" xfId="21" applyNumberFormat="1" applyFont="1" applyFill="1" applyBorder="1" applyAlignment="1">
      <alignment horizontal="right" wrapText="1" indent="2"/>
      <protection/>
    </xf>
    <xf numFmtId="3" fontId="8" fillId="20" borderId="3" xfId="21" applyNumberFormat="1" applyFont="1" applyFill="1" applyBorder="1" applyAlignment="1">
      <alignment horizontal="right" wrapText="1" indent="2"/>
      <protection/>
    </xf>
    <xf numFmtId="0" fontId="0" fillId="0" borderId="0" xfId="0" applyAlignment="1">
      <alignment/>
    </xf>
    <xf numFmtId="3" fontId="8" fillId="0" borderId="3" xfId="21" applyNumberFormat="1" applyFont="1" applyBorder="1" applyAlignment="1">
      <alignment horizontal="center" vertical="center" wrapText="1"/>
      <protection/>
    </xf>
    <xf numFmtId="3" fontId="8" fillId="21" borderId="3" xfId="21" applyNumberFormat="1" applyFont="1" applyFill="1" applyBorder="1" applyAlignment="1">
      <alignment horizontal="center" vertical="center" wrapText="1"/>
      <protection/>
    </xf>
    <xf numFmtId="3" fontId="7" fillId="0" borderId="3" xfId="21" applyNumberFormat="1" applyFont="1" applyFill="1" applyBorder="1" applyAlignment="1">
      <alignment horizontal="left" indent="1"/>
      <protection/>
    </xf>
    <xf numFmtId="3" fontId="8" fillId="21" borderId="3" xfId="21" applyNumberFormat="1" applyFont="1" applyFill="1" applyBorder="1" applyAlignment="1">
      <alignment horizontal="right" indent="6"/>
      <protection/>
    </xf>
    <xf numFmtId="166" fontId="10" fillId="0" borderId="3" xfId="21" applyNumberFormat="1" applyFont="1" applyBorder="1" applyAlignment="1">
      <alignment horizontal="right" wrapText="1" indent="5"/>
      <protection/>
    </xf>
    <xf numFmtId="3" fontId="8" fillId="19" borderId="3" xfId="21" applyNumberFormat="1" applyFont="1" applyFill="1" applyBorder="1" applyAlignment="1">
      <alignment horizontal="right" indent="6"/>
      <protection/>
    </xf>
    <xf numFmtId="166" fontId="10" fillId="0" borderId="3" xfId="21" applyNumberFormat="1" applyFont="1" applyBorder="1" applyAlignment="1">
      <alignment horizontal="right" wrapText="1" indent="4"/>
      <protection/>
    </xf>
    <xf numFmtId="0" fontId="7" fillId="0" borderId="3" xfId="21" applyNumberFormat="1" applyFont="1" applyFill="1" applyBorder="1" applyAlignment="1">
      <alignment horizontal="left" vertical="top" wrapText="1" indent="1"/>
      <protection/>
    </xf>
    <xf numFmtId="3" fontId="7" fillId="0" borderId="3" xfId="21" applyNumberFormat="1" applyFont="1" applyFill="1" applyBorder="1" applyAlignment="1">
      <alignment horizontal="left" vertical="center" wrapText="1" indent="1"/>
      <protection/>
    </xf>
    <xf numFmtId="3" fontId="8" fillId="19" borderId="3" xfId="21" applyNumberFormat="1" applyFont="1" applyFill="1" applyBorder="1" applyAlignment="1">
      <alignment horizontal="right" vertical="center" wrapText="1" indent="6"/>
      <protection/>
    </xf>
    <xf numFmtId="3" fontId="8" fillId="22" borderId="3" xfId="21" applyNumberFormat="1" applyFont="1" applyFill="1" applyBorder="1" applyAlignment="1">
      <alignment horizontal="left" vertical="center" wrapText="1" indent="1"/>
      <protection/>
    </xf>
    <xf numFmtId="3" fontId="8" fillId="22" borderId="3" xfId="21" applyNumberFormat="1" applyFont="1" applyFill="1" applyBorder="1" applyAlignment="1">
      <alignment horizontal="right" vertical="center" wrapText="1" indent="6"/>
      <protection/>
    </xf>
    <xf numFmtId="166" fontId="6" fillId="20" borderId="3" xfId="21" applyNumberFormat="1" applyFont="1" applyFill="1" applyBorder="1" applyAlignment="1">
      <alignment horizontal="right" wrapText="1" indent="5"/>
      <protection/>
    </xf>
    <xf numFmtId="166" fontId="6" fillId="20" borderId="3" xfId="21" applyNumberFormat="1" applyFont="1" applyFill="1" applyBorder="1" applyAlignment="1">
      <alignment horizontal="right" wrapText="1" indent="4"/>
      <protection/>
    </xf>
    <xf numFmtId="0" fontId="7" fillId="0" borderId="0" xfId="21" applyFont="1" applyAlignment="1">
      <alignment vertical="center" wrapText="1"/>
      <protection/>
    </xf>
    <xf numFmtId="0" fontId="7" fillId="0" borderId="0" xfId="21" applyFont="1" applyAlignment="1">
      <alignment horizontal="center" vertical="center" wrapText="1"/>
      <protection/>
    </xf>
    <xf numFmtId="2" fontId="7" fillId="0" borderId="3" xfId="21" applyNumberFormat="1" applyFont="1" applyBorder="1" applyAlignment="1">
      <alignment horizontal="left" vertical="center" wrapText="1" indent="1"/>
      <protection/>
    </xf>
    <xf numFmtId="3" fontId="8" fillId="19" borderId="3" xfId="21" applyNumberFormat="1" applyFont="1" applyFill="1" applyBorder="1" applyAlignment="1">
      <alignment horizontal="right" vertical="center" wrapText="1" indent="4"/>
      <protection/>
    </xf>
    <xf numFmtId="3" fontId="7" fillId="0" borderId="3" xfId="21" applyNumberFormat="1" applyFont="1" applyBorder="1" applyAlignment="1">
      <alignment horizontal="right" vertical="center" wrapText="1" indent="4"/>
      <protection/>
    </xf>
    <xf numFmtId="166" fontId="6" fillId="19" borderId="3" xfId="21" applyNumberFormat="1" applyFont="1" applyFill="1" applyBorder="1" applyAlignment="1">
      <alignment horizontal="center" vertical="center" wrapText="1"/>
      <protection/>
    </xf>
    <xf numFmtId="2" fontId="7" fillId="0" borderId="3" xfId="21" applyNumberFormat="1" applyFont="1" applyBorder="1" applyAlignment="1">
      <alignment horizontal="left" vertical="center" wrapText="1" indent="1"/>
      <protection/>
    </xf>
    <xf numFmtId="3" fontId="7" fillId="0" borderId="0" xfId="21" applyNumberFormat="1" applyFont="1" applyAlignment="1">
      <alignment vertical="center" wrapText="1"/>
      <protection/>
    </xf>
    <xf numFmtId="0" fontId="8" fillId="20" borderId="3" xfId="21" applyFont="1" applyFill="1" applyBorder="1" applyAlignment="1">
      <alignment horizontal="left" vertical="center" wrapText="1" indent="1"/>
      <protection/>
    </xf>
    <xf numFmtId="166" fontId="6" fillId="20" borderId="3" xfId="21" applyNumberFormat="1" applyFont="1" applyFill="1" applyBorder="1" applyAlignment="1">
      <alignment horizontal="center" vertical="center" wrapText="1"/>
      <protection/>
    </xf>
    <xf numFmtId="3" fontId="8" fillId="0" borderId="0" xfId="21" applyNumberFormat="1" applyFont="1" applyBorder="1" applyAlignment="1">
      <alignment vertical="center" wrapText="1"/>
      <protection/>
    </xf>
    <xf numFmtId="3" fontId="7" fillId="0" borderId="0" xfId="21" applyNumberFormat="1" applyFont="1" applyBorder="1" applyAlignment="1">
      <alignment horizontal="center" vertical="center" wrapText="1"/>
      <protection/>
    </xf>
    <xf numFmtId="3" fontId="8" fillId="19" borderId="3" xfId="21" applyNumberFormat="1" applyFont="1" applyFill="1" applyBorder="1" applyAlignment="1">
      <alignment horizontal="right" indent="4"/>
      <protection/>
    </xf>
    <xf numFmtId="3" fontId="7" fillId="0" borderId="0" xfId="21" applyNumberFormat="1" applyFont="1" applyFill="1" applyBorder="1" applyAlignment="1">
      <alignment vertical="center" wrapText="1"/>
      <protection/>
    </xf>
    <xf numFmtId="3" fontId="8" fillId="22" borderId="3" xfId="21" applyNumberFormat="1" applyFont="1" applyFill="1" applyBorder="1" applyAlignment="1">
      <alignment horizontal="right" vertical="center" wrapText="1" indent="5"/>
      <protection/>
    </xf>
    <xf numFmtId="3" fontId="8" fillId="22" borderId="3" xfId="21" applyNumberFormat="1" applyFont="1" applyFill="1" applyBorder="1" applyAlignment="1">
      <alignment horizontal="right" vertical="center" wrapText="1" indent="4"/>
      <protection/>
    </xf>
    <xf numFmtId="3" fontId="7" fillId="0" borderId="0" xfId="21" applyNumberFormat="1" applyFont="1" applyBorder="1" applyAlignment="1">
      <alignment vertical="center" wrapText="1"/>
      <protection/>
    </xf>
    <xf numFmtId="166" fontId="10" fillId="0" borderId="3" xfId="21" applyNumberFormat="1" applyFont="1" applyBorder="1" applyAlignment="1">
      <alignment horizontal="right" wrapText="1" indent="6"/>
      <protection/>
    </xf>
    <xf numFmtId="1" fontId="0" fillId="0" borderId="0" xfId="0" applyNumberFormat="1" applyAlignment="1">
      <alignment/>
    </xf>
    <xf numFmtId="0" fontId="0" fillId="0" borderId="0" xfId="0" applyAlignment="1">
      <alignment horizontal="right"/>
    </xf>
    <xf numFmtId="166" fontId="6" fillId="20" borderId="3" xfId="21" applyNumberFormat="1" applyFont="1" applyFill="1" applyBorder="1" applyAlignment="1">
      <alignment horizontal="right" wrapText="1" indent="6"/>
      <protection/>
    </xf>
    <xf numFmtId="0" fontId="0" fillId="0" borderId="0" xfId="0" applyAlignment="1">
      <alignment vertical="center"/>
    </xf>
    <xf numFmtId="3" fontId="27" fillId="0" borderId="0" xfId="21" applyNumberFormat="1" applyFont="1" applyBorder="1" applyAlignment="1">
      <alignment horizontal="right" vertical="center"/>
      <protection/>
    </xf>
    <xf numFmtId="3" fontId="14" fillId="0" borderId="3" xfId="21" applyNumberFormat="1" applyFont="1" applyBorder="1" applyAlignment="1">
      <alignment horizontal="left" vertical="center" wrapText="1" indent="1"/>
      <protection/>
    </xf>
    <xf numFmtId="3" fontId="14" fillId="0" borderId="3" xfId="21" applyNumberFormat="1" applyFont="1" applyBorder="1" applyAlignment="1">
      <alignment horizontal="right" indent="3"/>
      <protection/>
    </xf>
    <xf numFmtId="3" fontId="14" fillId="0" borderId="3" xfId="21" applyNumberFormat="1" applyFont="1" applyBorder="1" applyAlignment="1">
      <alignment horizontal="right" vertical="center" wrapText="1" indent="3"/>
      <protection/>
    </xf>
    <xf numFmtId="3" fontId="11" fillId="19" borderId="3" xfId="21" applyNumberFormat="1" applyFont="1" applyFill="1" applyBorder="1" applyAlignment="1">
      <alignment horizontal="right" vertical="center" wrapText="1" indent="3"/>
      <protection/>
    </xf>
    <xf numFmtId="166" fontId="12" fillId="0" borderId="3" xfId="21" applyNumberFormat="1" applyFont="1" applyBorder="1" applyAlignment="1">
      <alignment horizontal="right" vertical="center" wrapText="1" indent="2"/>
      <protection/>
    </xf>
    <xf numFmtId="3" fontId="14" fillId="0" borderId="3" xfId="21" applyNumberFormat="1" applyFont="1" applyBorder="1" applyAlignment="1">
      <alignment horizontal="right" vertical="center" wrapText="1" indent="2"/>
      <protection/>
    </xf>
    <xf numFmtId="3" fontId="11" fillId="19" borderId="3" xfId="21" applyNumberFormat="1" applyFont="1" applyFill="1" applyBorder="1" applyAlignment="1">
      <alignment horizontal="right" vertical="center" wrapText="1" indent="2"/>
      <protection/>
    </xf>
    <xf numFmtId="3" fontId="11" fillId="20" borderId="3" xfId="21" applyNumberFormat="1" applyFont="1" applyFill="1" applyBorder="1" applyAlignment="1">
      <alignment horizontal="left" vertical="center" wrapText="1" indent="1"/>
      <protection/>
    </xf>
    <xf numFmtId="3" fontId="11" fillId="20" borderId="3" xfId="21" applyNumberFormat="1" applyFont="1" applyFill="1" applyBorder="1" applyAlignment="1">
      <alignment horizontal="right" vertical="center" wrapText="1" indent="3"/>
      <protection/>
    </xf>
    <xf numFmtId="166" fontId="13" fillId="20" borderId="3" xfId="21" applyNumberFormat="1" applyFont="1" applyFill="1" applyBorder="1" applyAlignment="1">
      <alignment horizontal="right" vertical="center" wrapText="1" indent="2"/>
      <protection/>
    </xf>
    <xf numFmtId="3" fontId="11" fillId="20" borderId="3" xfId="21" applyNumberFormat="1" applyFont="1" applyFill="1" applyBorder="1" applyAlignment="1">
      <alignment horizontal="right" vertical="center" wrapText="1" indent="2"/>
      <protection/>
    </xf>
    <xf numFmtId="0" fontId="27" fillId="0" borderId="0" xfId="0" applyFont="1" applyAlignment="1">
      <alignment horizontal="right" vertical="center"/>
    </xf>
    <xf numFmtId="3" fontId="7" fillId="0" borderId="0" xfId="20" applyNumberFormat="1" applyFont="1" applyBorder="1" applyAlignment="1">
      <alignment horizontal="left" vertical="center" wrapText="1"/>
      <protection/>
    </xf>
    <xf numFmtId="3" fontId="6" fillId="0" borderId="0" xfId="20" applyNumberFormat="1" applyFont="1" applyBorder="1" applyAlignment="1">
      <alignment horizontal="center" vertical="center" wrapText="1"/>
      <protection/>
    </xf>
    <xf numFmtId="166" fontId="8" fillId="0" borderId="0" xfId="29" applyNumberFormat="1" applyFont="1" applyBorder="1" applyAlignment="1">
      <alignment horizontal="left" vertical="center" wrapText="1"/>
    </xf>
    <xf numFmtId="3" fontId="8" fillId="0" borderId="0" xfId="20" applyNumberFormat="1" applyFont="1" applyBorder="1" applyAlignment="1">
      <alignment horizontal="left" vertical="center" wrapText="1"/>
      <protection/>
    </xf>
    <xf numFmtId="3" fontId="7" fillId="0" borderId="0" xfId="20" applyNumberFormat="1" applyFont="1" applyFill="1" applyBorder="1" applyAlignment="1">
      <alignment horizontal="left" vertical="center" wrapText="1"/>
      <protection/>
    </xf>
    <xf numFmtId="3" fontId="7" fillId="0" borderId="3" xfId="20" applyNumberFormat="1" applyFont="1" applyBorder="1" applyAlignment="1">
      <alignment horizontal="right" vertical="center" wrapText="1" indent="1"/>
      <protection/>
    </xf>
    <xf numFmtId="3" fontId="7" fillId="0" borderId="3" xfId="20" applyNumberFormat="1" applyFont="1" applyFill="1" applyBorder="1" applyAlignment="1">
      <alignment horizontal="right" vertical="center" wrapText="1" indent="1"/>
      <protection/>
    </xf>
    <xf numFmtId="3" fontId="7" fillId="0" borderId="8" xfId="20" applyNumberFormat="1" applyFont="1" applyBorder="1" applyAlignment="1">
      <alignment vertical="center" wrapText="1"/>
      <protection/>
    </xf>
    <xf numFmtId="3" fontId="7" fillId="0" borderId="0" xfId="20" applyNumberFormat="1" applyFont="1" applyAlignment="1">
      <alignment vertical="center" wrapText="1"/>
      <protection/>
    </xf>
    <xf numFmtId="3" fontId="7" fillId="0" borderId="9" xfId="20" applyNumberFormat="1" applyFont="1" applyBorder="1" applyAlignment="1">
      <alignment vertical="center" wrapText="1"/>
      <protection/>
    </xf>
    <xf numFmtId="3" fontId="7" fillId="0" borderId="3" xfId="20" applyNumberFormat="1" applyFont="1" applyBorder="1" applyAlignment="1">
      <alignment vertical="center" wrapText="1"/>
      <protection/>
    </xf>
    <xf numFmtId="3" fontId="7" fillId="0" borderId="10" xfId="20" applyNumberFormat="1" applyFont="1" applyBorder="1" applyAlignment="1">
      <alignment vertical="center" wrapText="1"/>
      <protection/>
    </xf>
    <xf numFmtId="3" fontId="7" fillId="13" borderId="9" xfId="20" applyNumberFormat="1" applyFont="1" applyFill="1" applyBorder="1" applyAlignment="1">
      <alignment vertical="center"/>
      <protection/>
    </xf>
    <xf numFmtId="3" fontId="7" fillId="13" borderId="11" xfId="20" applyNumberFormat="1" applyFont="1" applyFill="1" applyBorder="1" applyAlignment="1">
      <alignment vertical="center"/>
      <protection/>
    </xf>
    <xf numFmtId="3" fontId="7" fillId="0" borderId="12" xfId="20" applyNumberFormat="1" applyFont="1" applyBorder="1" applyAlignment="1">
      <alignment vertical="center" wrapText="1"/>
      <protection/>
    </xf>
    <xf numFmtId="3" fontId="7" fillId="19" borderId="13" xfId="20" applyNumberFormat="1" applyFont="1" applyFill="1" applyBorder="1" applyAlignment="1">
      <alignment vertical="center" wrapText="1"/>
      <protection/>
    </xf>
    <xf numFmtId="3" fontId="7" fillId="13" borderId="9" xfId="20" applyNumberFormat="1" applyFont="1" applyFill="1" applyBorder="1" applyAlignment="1">
      <alignment vertical="center" wrapText="1"/>
      <protection/>
    </xf>
    <xf numFmtId="3" fontId="7" fillId="13" borderId="11" xfId="20" applyNumberFormat="1" applyFont="1" applyFill="1" applyBorder="1" applyAlignment="1">
      <alignment vertical="center" wrapText="1"/>
      <protection/>
    </xf>
    <xf numFmtId="3" fontId="7" fillId="19" borderId="13" xfId="20" applyNumberFormat="1" applyFont="1" applyFill="1" applyBorder="1" applyAlignment="1">
      <alignment vertical="center"/>
      <protection/>
    </xf>
    <xf numFmtId="3" fontId="8" fillId="0" borderId="9" xfId="20" applyNumberFormat="1" applyFont="1" applyBorder="1" applyAlignment="1">
      <alignment vertical="center" wrapText="1"/>
      <protection/>
    </xf>
    <xf numFmtId="3" fontId="7" fillId="13" borderId="13" xfId="20" applyNumberFormat="1" applyFont="1" applyFill="1" applyBorder="1" applyAlignment="1">
      <alignment vertical="center" wrapText="1"/>
      <protection/>
    </xf>
    <xf numFmtId="3" fontId="7" fillId="0" borderId="14" xfId="20" applyNumberFormat="1" applyFont="1" applyBorder="1" applyAlignment="1">
      <alignment vertical="center" wrapText="1"/>
      <protection/>
    </xf>
    <xf numFmtId="3" fontId="7" fillId="0" borderId="0" xfId="20" applyNumberFormat="1" applyFont="1" applyAlignment="1">
      <alignment horizontal="left" vertical="center" wrapText="1"/>
      <protection/>
    </xf>
    <xf numFmtId="3" fontId="8" fillId="0" borderId="0" xfId="20" applyNumberFormat="1" applyFont="1" applyAlignment="1">
      <alignment vertical="center" wrapText="1"/>
      <protection/>
    </xf>
    <xf numFmtId="3" fontId="9" fillId="0" borderId="0" xfId="20" applyNumberFormat="1" applyFont="1" applyAlignment="1">
      <alignment vertical="center" wrapText="1"/>
      <protection/>
    </xf>
    <xf numFmtId="0" fontId="7" fillId="0" borderId="0" xfId="20" applyFont="1" applyAlignment="1">
      <alignment vertical="center" wrapText="1"/>
      <protection/>
    </xf>
    <xf numFmtId="0" fontId="8" fillId="0" borderId="0" xfId="20" applyFont="1" applyAlignment="1">
      <alignment horizontal="center" vertical="center" wrapText="1"/>
      <protection/>
    </xf>
    <xf numFmtId="166" fontId="7" fillId="0" borderId="0" xfId="20" applyNumberFormat="1" applyFont="1" applyAlignment="1">
      <alignment vertical="center" wrapText="1"/>
      <protection/>
    </xf>
    <xf numFmtId="3" fontId="9" fillId="0" borderId="0" xfId="26" applyNumberFormat="1" applyFont="1" applyAlignment="1">
      <alignment vertical="center" wrapText="1"/>
      <protection/>
    </xf>
    <xf numFmtId="0" fontId="7" fillId="0" borderId="0" xfId="26" applyFont="1" applyAlignment="1">
      <alignment vertical="center" wrapText="1"/>
      <protection/>
    </xf>
    <xf numFmtId="0" fontId="8" fillId="0" borderId="0" xfId="26" applyFont="1" applyAlignment="1">
      <alignment horizontal="center" vertical="center" wrapText="1"/>
      <protection/>
    </xf>
    <xf numFmtId="171" fontId="7" fillId="0" borderId="3" xfId="26" applyNumberFormat="1" applyFont="1" applyFill="1" applyBorder="1" applyAlignment="1">
      <alignment horizontal="right" vertical="center" wrapText="1" indent="1"/>
      <protection/>
    </xf>
    <xf numFmtId="166" fontId="7" fillId="0" borderId="0" xfId="29" applyNumberFormat="1" applyFont="1" applyAlignment="1">
      <alignment horizontal="right" vertical="center" wrapText="1" indent="1"/>
    </xf>
    <xf numFmtId="3" fontId="8" fillId="0" borderId="3" xfId="26" applyNumberFormat="1" applyFont="1" applyFill="1" applyBorder="1" applyAlignment="1">
      <alignment horizontal="center" vertical="center" wrapText="1"/>
      <protection/>
    </xf>
    <xf numFmtId="0" fontId="8" fillId="19" borderId="3" xfId="26" applyFont="1" applyFill="1" applyBorder="1" applyAlignment="1">
      <alignment horizontal="center" vertical="center" wrapText="1"/>
      <protection/>
    </xf>
    <xf numFmtId="0" fontId="8" fillId="0" borderId="3" xfId="26" applyFont="1" applyBorder="1" applyAlignment="1">
      <alignment horizontal="center" vertical="center" wrapText="1"/>
      <protection/>
    </xf>
    <xf numFmtId="0" fontId="8" fillId="13" borderId="3" xfId="26" applyFont="1" applyFill="1" applyBorder="1" applyAlignment="1">
      <alignment horizontal="center" vertical="center" wrapText="1"/>
      <protection/>
    </xf>
    <xf numFmtId="0" fontId="7" fillId="0" borderId="3" xfId="26" applyFont="1" applyBorder="1" applyAlignment="1">
      <alignment horizontal="left" vertical="center" wrapText="1" indent="1"/>
      <protection/>
    </xf>
    <xf numFmtId="171" fontId="7" fillId="19" borderId="3" xfId="26" applyNumberFormat="1" applyFont="1" applyFill="1" applyBorder="1" applyAlignment="1">
      <alignment horizontal="right" vertical="center" wrapText="1" indent="1"/>
      <protection/>
    </xf>
    <xf numFmtId="171" fontId="7" fillId="13" borderId="3" xfId="26" applyNumberFormat="1" applyFont="1" applyFill="1" applyBorder="1" applyAlignment="1">
      <alignment horizontal="right" vertical="center" wrapText="1" indent="1"/>
      <protection/>
    </xf>
    <xf numFmtId="171" fontId="8" fillId="19" borderId="3" xfId="26" applyNumberFormat="1" applyFont="1" applyFill="1" applyBorder="1" applyAlignment="1">
      <alignment horizontal="right" vertical="center" wrapText="1" indent="1"/>
      <protection/>
    </xf>
    <xf numFmtId="0" fontId="7" fillId="0" borderId="3" xfId="26" applyFont="1" applyFill="1" applyBorder="1" applyAlignment="1">
      <alignment horizontal="left" vertical="center" wrapText="1" indent="1"/>
      <protection/>
    </xf>
    <xf numFmtId="0" fontId="25" fillId="20" borderId="3" xfId="26" applyFont="1" applyFill="1" applyBorder="1" applyAlignment="1">
      <alignment horizontal="left" vertical="center" wrapText="1" indent="1"/>
      <protection/>
    </xf>
    <xf numFmtId="171" fontId="25" fillId="20" borderId="3" xfId="26" applyNumberFormat="1" applyFont="1" applyFill="1" applyBorder="1" applyAlignment="1">
      <alignment horizontal="center" vertical="center" wrapText="1"/>
      <protection/>
    </xf>
    <xf numFmtId="171" fontId="7" fillId="0" borderId="0" xfId="26" applyNumberFormat="1" applyFont="1" applyAlignment="1">
      <alignment vertical="center" wrapText="1"/>
      <protection/>
    </xf>
    <xf numFmtId="3" fontId="7" fillId="0" borderId="0" xfId="20" applyNumberFormat="1" applyFont="1" applyAlignment="1">
      <alignment horizontal="center" vertical="center" wrapText="1"/>
      <protection/>
    </xf>
    <xf numFmtId="171" fontId="7" fillId="0" borderId="3" xfId="20" applyNumberFormat="1" applyFont="1" applyFill="1" applyBorder="1" applyAlignment="1">
      <alignment horizontal="right" vertical="center" wrapText="1" indent="1"/>
      <protection/>
    </xf>
    <xf numFmtId="3" fontId="7" fillId="0" borderId="0" xfId="15" applyNumberFormat="1" applyFont="1" applyAlignment="1">
      <alignment vertical="center" wrapText="1"/>
    </xf>
    <xf numFmtId="171" fontId="41" fillId="0" borderId="3" xfId="63" applyNumberFormat="1" applyFont="1" applyFill="1" applyBorder="1" applyAlignment="1" applyProtection="1">
      <alignment horizontal="right" vertical="center" indent="1"/>
      <protection locked="0"/>
    </xf>
    <xf numFmtId="1" fontId="7" fillId="0" borderId="0" xfId="20" applyNumberFormat="1" applyFont="1" applyAlignment="1">
      <alignment vertical="center" wrapText="1"/>
      <protection/>
    </xf>
    <xf numFmtId="1" fontId="7" fillId="0" borderId="0" xfId="15" applyNumberFormat="1" applyFont="1" applyAlignment="1">
      <alignment vertical="center" wrapText="1"/>
    </xf>
    <xf numFmtId="3" fontId="7" fillId="0" borderId="0" xfId="20" applyNumberFormat="1" applyFont="1" applyFill="1" applyAlignment="1">
      <alignment horizontal="right" vertical="center" wrapText="1" indent="1"/>
      <protection/>
    </xf>
    <xf numFmtId="3" fontId="7" fillId="0" borderId="0" xfId="20" applyNumberFormat="1" applyFont="1" applyFill="1" applyAlignment="1">
      <alignment horizontal="right" vertical="center" wrapText="1"/>
      <protection/>
    </xf>
    <xf numFmtId="3" fontId="7" fillId="0" borderId="0" xfId="20" applyNumberFormat="1" applyFont="1" applyFill="1" applyAlignment="1">
      <alignment vertical="center" wrapText="1"/>
      <protection/>
    </xf>
    <xf numFmtId="3" fontId="9" fillId="0" borderId="0" xfId="20" applyNumberFormat="1" applyFont="1" applyAlignment="1">
      <alignment horizontal="center" vertical="center" wrapText="1"/>
      <protection/>
    </xf>
    <xf numFmtId="0" fontId="8" fillId="0" borderId="0" xfId="20" applyFont="1" applyBorder="1" applyAlignment="1">
      <alignment horizontal="center" vertical="center" wrapText="1"/>
      <protection/>
    </xf>
    <xf numFmtId="3" fontId="8" fillId="0" borderId="0" xfId="20" applyNumberFormat="1" applyFont="1" applyBorder="1" applyAlignment="1">
      <alignment horizontal="right" vertical="center" wrapText="1" indent="1"/>
      <protection/>
    </xf>
    <xf numFmtId="3" fontId="8" fillId="0" borderId="0" xfId="20" applyNumberFormat="1" applyFont="1" applyFill="1" applyBorder="1" applyAlignment="1">
      <alignment horizontal="right" vertical="center" wrapText="1" indent="1"/>
      <protection/>
    </xf>
    <xf numFmtId="3" fontId="9" fillId="0" borderId="0" xfId="20" applyNumberFormat="1" applyFont="1" applyBorder="1" applyAlignment="1">
      <alignment horizontal="center" vertical="center" wrapText="1"/>
      <protection/>
    </xf>
    <xf numFmtId="0" fontId="14" fillId="0" borderId="0" xfId="20">
      <alignment/>
      <protection/>
    </xf>
    <xf numFmtId="171" fontId="7" fillId="0" borderId="3" xfId="26" applyNumberFormat="1" applyFont="1" applyBorder="1" applyAlignment="1">
      <alignment horizontal="right" vertical="center" wrapText="1" indent="1"/>
      <protection/>
    </xf>
    <xf numFmtId="3" fontId="14" fillId="0" borderId="0" xfId="20" applyNumberFormat="1">
      <alignment/>
      <protection/>
    </xf>
    <xf numFmtId="0" fontId="14" fillId="0" borderId="0" xfId="26">
      <alignment/>
      <protection/>
    </xf>
    <xf numFmtId="3" fontId="8" fillId="0" borderId="3" xfId="26" applyNumberFormat="1" applyFont="1" applyBorder="1" applyAlignment="1">
      <alignment horizontal="center" vertical="center" wrapText="1"/>
      <protection/>
    </xf>
    <xf numFmtId="3" fontId="7" fillId="0" borderId="3" xfId="26" applyNumberFormat="1" applyFont="1" applyFill="1" applyBorder="1" applyAlignment="1">
      <alignment horizontal="left" vertical="center" wrapText="1" indent="1"/>
      <protection/>
    </xf>
    <xf numFmtId="3" fontId="7" fillId="0" borderId="3" xfId="26" applyNumberFormat="1" applyFont="1" applyFill="1" applyBorder="1" applyAlignment="1">
      <alignment horizontal="right" vertical="center" wrapText="1" indent="1"/>
      <protection/>
    </xf>
    <xf numFmtId="3" fontId="17" fillId="0" borderId="3" xfId="26" applyNumberFormat="1" applyFont="1" applyFill="1" applyBorder="1" applyAlignment="1">
      <alignment horizontal="right" vertical="center" wrapText="1" indent="1"/>
      <protection/>
    </xf>
    <xf numFmtId="0" fontId="14" fillId="0" borderId="0" xfId="26" applyFill="1">
      <alignment/>
      <protection/>
    </xf>
    <xf numFmtId="3" fontId="8" fillId="20" borderId="3" xfId="26" applyNumberFormat="1" applyFont="1" applyFill="1" applyBorder="1" applyAlignment="1">
      <alignment horizontal="left" vertical="center" wrapText="1" indent="1"/>
      <protection/>
    </xf>
    <xf numFmtId="3" fontId="8" fillId="20" borderId="3" xfId="15" applyNumberFormat="1" applyFont="1" applyFill="1" applyBorder="1" applyAlignment="1">
      <alignment horizontal="right" vertical="center" wrapText="1" indent="1"/>
    </xf>
    <xf numFmtId="3" fontId="17" fillId="20" borderId="3" xfId="26" applyNumberFormat="1" applyFont="1" applyFill="1" applyBorder="1" applyAlignment="1">
      <alignment horizontal="right" vertical="center" wrapText="1" indent="1"/>
      <protection/>
    </xf>
    <xf numFmtId="3" fontId="26" fillId="19" borderId="3" xfId="0" applyNumberFormat="1" applyFont="1" applyFill="1" applyBorder="1" applyAlignment="1">
      <alignment horizontal="right" indent="5"/>
    </xf>
    <xf numFmtId="3" fontId="26" fillId="19" borderId="0" xfId="0" applyNumberFormat="1" applyFont="1" applyFill="1" applyBorder="1" applyAlignment="1">
      <alignment horizontal="right" indent="5"/>
    </xf>
    <xf numFmtId="3" fontId="11" fillId="0" borderId="3" xfId="20" applyNumberFormat="1" applyFont="1" applyFill="1" applyBorder="1" applyAlignment="1">
      <alignment horizontal="center" vertical="center" wrapText="1"/>
      <protection/>
    </xf>
    <xf numFmtId="3" fontId="7" fillId="0" borderId="3" xfId="20" applyNumberFormat="1" applyFont="1" applyFill="1" applyBorder="1" applyAlignment="1">
      <alignment horizontal="left" vertical="center" wrapText="1" indent="1"/>
      <protection/>
    </xf>
    <xf numFmtId="3" fontId="8" fillId="20" borderId="3" xfId="20" applyNumberFormat="1" applyFont="1" applyFill="1" applyBorder="1" applyAlignment="1">
      <alignment horizontal="left" vertical="center" wrapText="1" indent="1"/>
      <protection/>
    </xf>
    <xf numFmtId="3" fontId="8" fillId="20" borderId="3" xfId="20" applyNumberFormat="1" applyFont="1" applyFill="1" applyBorder="1" applyAlignment="1">
      <alignment horizontal="right" vertical="center" wrapText="1" indent="1"/>
      <protection/>
    </xf>
    <xf numFmtId="3" fontId="14" fillId="0" borderId="3" xfId="20" applyNumberFormat="1" applyFont="1" applyFill="1" applyBorder="1" applyAlignment="1">
      <alignment horizontal="left" vertical="center" wrapText="1" indent="1"/>
      <protection/>
    </xf>
    <xf numFmtId="0" fontId="14" fillId="0" borderId="3" xfId="20" applyFont="1" applyFill="1" applyBorder="1" applyAlignment="1">
      <alignment horizontal="right" vertical="center" wrapText="1" indent="1"/>
      <protection/>
    </xf>
    <xf numFmtId="3" fontId="14" fillId="0" borderId="3" xfId="20" applyNumberFormat="1" applyFont="1" applyFill="1" applyBorder="1" applyAlignment="1">
      <alignment horizontal="right" vertical="center" wrapText="1" indent="1"/>
      <protection/>
    </xf>
    <xf numFmtId="0" fontId="14" fillId="0" borderId="3" xfId="20" applyFont="1" applyFill="1" applyBorder="1" applyAlignment="1">
      <alignment horizontal="right" vertical="center" wrapText="1" indent="2"/>
      <protection/>
    </xf>
    <xf numFmtId="3" fontId="14" fillId="0" borderId="3" xfId="20" applyNumberFormat="1" applyFont="1" applyFill="1" applyBorder="1" applyAlignment="1">
      <alignment horizontal="right" vertical="center" wrapText="1" indent="2"/>
      <protection/>
    </xf>
    <xf numFmtId="3" fontId="11" fillId="20" borderId="3" xfId="20" applyNumberFormat="1" applyFont="1" applyFill="1" applyBorder="1" applyAlignment="1">
      <alignment horizontal="left" vertical="center" wrapText="1" indent="1"/>
      <protection/>
    </xf>
    <xf numFmtId="3" fontId="11" fillId="20" borderId="3" xfId="20" applyNumberFormat="1" applyFont="1" applyFill="1" applyBorder="1" applyAlignment="1">
      <alignment horizontal="right" vertical="center" wrapText="1" indent="1"/>
      <protection/>
    </xf>
    <xf numFmtId="3" fontId="11" fillId="19" borderId="3" xfId="20" applyNumberFormat="1" applyFont="1" applyFill="1" applyBorder="1" applyAlignment="1">
      <alignment horizontal="center" vertical="center" wrapText="1"/>
      <protection/>
    </xf>
    <xf numFmtId="3" fontId="14" fillId="19" borderId="3" xfId="20" applyNumberFormat="1" applyFont="1" applyFill="1" applyBorder="1" applyAlignment="1">
      <alignment horizontal="right" vertical="center" wrapText="1" indent="1"/>
      <protection/>
    </xf>
    <xf numFmtId="3" fontId="11" fillId="13" borderId="3" xfId="20" applyNumberFormat="1" applyFont="1" applyFill="1" applyBorder="1" applyAlignment="1">
      <alignment horizontal="center" vertical="center" wrapText="1"/>
      <protection/>
    </xf>
    <xf numFmtId="3" fontId="14" fillId="13" borderId="3" xfId="20" applyNumberFormat="1" applyFont="1" applyFill="1" applyBorder="1" applyAlignment="1">
      <alignment horizontal="right" vertical="center" wrapText="1" indent="1"/>
      <protection/>
    </xf>
    <xf numFmtId="3" fontId="7" fillId="0" borderId="9" xfId="20" applyNumberFormat="1" applyFont="1" applyBorder="1" applyAlignment="1">
      <alignment vertical="top" wrapText="1"/>
      <protection/>
    </xf>
    <xf numFmtId="3" fontId="7" fillId="13" borderId="3" xfId="20" applyNumberFormat="1" applyFont="1" applyFill="1" applyBorder="1" applyAlignment="1">
      <alignment horizontal="right" vertical="center" wrapText="1" indent="1"/>
      <protection/>
    </xf>
    <xf numFmtId="3" fontId="7" fillId="19" borderId="3" xfId="20" applyNumberFormat="1" applyFont="1" applyFill="1" applyBorder="1" applyAlignment="1">
      <alignment horizontal="right" vertical="center" wrapText="1" indent="1"/>
      <protection/>
    </xf>
    <xf numFmtId="3" fontId="7" fillId="0" borderId="6" xfId="20" applyNumberFormat="1" applyFont="1" applyBorder="1" applyAlignment="1">
      <alignment vertical="center" wrapText="1"/>
      <protection/>
    </xf>
    <xf numFmtId="3" fontId="7" fillId="0" borderId="6" xfId="20" applyNumberFormat="1" applyFont="1" applyFill="1" applyBorder="1" applyAlignment="1">
      <alignment vertical="center" wrapText="1"/>
      <protection/>
    </xf>
    <xf numFmtId="3" fontId="7" fillId="0" borderId="15" xfId="20" applyNumberFormat="1" applyFont="1" applyBorder="1" applyAlignment="1">
      <alignment vertical="center" wrapText="1"/>
      <protection/>
    </xf>
    <xf numFmtId="3" fontId="7" fillId="0" borderId="12" xfId="20" applyNumberFormat="1" applyFont="1" applyBorder="1" applyAlignment="1">
      <alignment vertical="center" wrapText="1"/>
      <protection/>
    </xf>
    <xf numFmtId="3" fontId="7" fillId="0" borderId="15" xfId="20" applyNumberFormat="1" applyFont="1" applyBorder="1" applyAlignment="1">
      <alignment vertical="center" wrapText="1"/>
      <protection/>
    </xf>
    <xf numFmtId="3" fontId="7" fillId="19" borderId="13" xfId="20" applyNumberFormat="1" applyFont="1" applyFill="1" applyBorder="1" applyAlignment="1">
      <alignment vertical="center"/>
      <protection/>
    </xf>
    <xf numFmtId="3" fontId="7" fillId="0" borderId="13" xfId="20" applyNumberFormat="1" applyFont="1" applyBorder="1" applyAlignment="1">
      <alignment vertical="center" wrapText="1"/>
      <protection/>
    </xf>
    <xf numFmtId="3" fontId="8" fillId="20" borderId="16" xfId="20" applyNumberFormat="1" applyFont="1" applyFill="1" applyBorder="1" applyAlignment="1">
      <alignment vertical="center" wrapText="1"/>
      <protection/>
    </xf>
    <xf numFmtId="3" fontId="8" fillId="20" borderId="16" xfId="20" applyNumberFormat="1" applyFont="1" applyFill="1" applyBorder="1" applyAlignment="1">
      <alignment vertical="center" wrapText="1"/>
      <protection/>
    </xf>
    <xf numFmtId="3" fontId="7" fillId="0" borderId="10" xfId="20" applyNumberFormat="1" applyFont="1" applyBorder="1" applyAlignment="1">
      <alignment horizontal="right" vertical="center" wrapText="1" indent="1"/>
      <protection/>
    </xf>
    <xf numFmtId="3" fontId="7" fillId="13" borderId="17" xfId="20" applyNumberFormat="1" applyFont="1" applyFill="1" applyBorder="1" applyAlignment="1">
      <alignment horizontal="right" vertical="center" indent="1"/>
      <protection/>
    </xf>
    <xf numFmtId="3" fontId="8" fillId="19" borderId="13" xfId="20" applyNumberFormat="1" applyFont="1" applyFill="1" applyBorder="1" applyAlignment="1">
      <alignment vertical="center"/>
      <protection/>
    </xf>
    <xf numFmtId="3" fontId="7" fillId="19" borderId="18" xfId="20" applyNumberFormat="1" applyFont="1" applyFill="1" applyBorder="1" applyAlignment="1">
      <alignment horizontal="left" vertical="center" wrapText="1" indent="8"/>
      <protection/>
    </xf>
    <xf numFmtId="3" fontId="8" fillId="19" borderId="19" xfId="20" applyNumberFormat="1" applyFont="1" applyFill="1" applyBorder="1" applyAlignment="1">
      <alignment horizontal="right" vertical="center" wrapText="1" indent="1"/>
      <protection/>
    </xf>
    <xf numFmtId="3" fontId="8" fillId="20" borderId="16" xfId="20" applyNumberFormat="1" applyFont="1" applyFill="1" applyBorder="1" applyAlignment="1">
      <alignment vertical="center"/>
      <protection/>
    </xf>
    <xf numFmtId="3" fontId="7" fillId="20" borderId="16" xfId="20" applyNumberFormat="1" applyFont="1" applyFill="1" applyBorder="1" applyAlignment="1">
      <alignment vertical="center" wrapText="1"/>
      <protection/>
    </xf>
    <xf numFmtId="3" fontId="8" fillId="20" borderId="20" xfId="20" applyNumberFormat="1" applyFont="1" applyFill="1" applyBorder="1" applyAlignment="1">
      <alignment horizontal="right" vertical="center" wrapText="1" indent="1"/>
      <protection/>
    </xf>
    <xf numFmtId="0" fontId="8" fillId="0" borderId="3" xfId="24" applyFont="1" applyBorder="1" applyAlignment="1">
      <alignment horizontal="center" vertical="center" wrapText="1"/>
      <protection/>
    </xf>
    <xf numFmtId="3" fontId="7" fillId="0" borderId="3" xfId="24" applyNumberFormat="1" applyFont="1" applyBorder="1" applyAlignment="1">
      <alignment vertical="center" wrapText="1"/>
      <protection/>
    </xf>
    <xf numFmtId="3" fontId="7" fillId="0" borderId="3" xfId="24" applyNumberFormat="1" applyFont="1" applyBorder="1" applyAlignment="1">
      <alignment horizontal="center" vertical="center" wrapText="1"/>
      <protection/>
    </xf>
    <xf numFmtId="3" fontId="7" fillId="0" borderId="3" xfId="0" applyNumberFormat="1" applyFont="1" applyFill="1" applyBorder="1" applyAlignment="1">
      <alignment horizontal="right" vertical="center" wrapText="1" indent="1"/>
    </xf>
    <xf numFmtId="168" fontId="7" fillId="0" borderId="3" xfId="0" applyNumberFormat="1" applyFont="1" applyFill="1" applyBorder="1" applyAlignment="1">
      <alignment horizontal="right" vertical="center" wrapText="1" indent="1"/>
    </xf>
    <xf numFmtId="3" fontId="7" fillId="0" borderId="3" xfId="28" applyNumberFormat="1" applyFont="1" applyFill="1" applyBorder="1" applyAlignment="1">
      <alignment horizontal="right" vertical="center" wrapText="1" indent="1"/>
      <protection/>
    </xf>
    <xf numFmtId="0" fontId="8" fillId="13" borderId="3" xfId="24" applyFont="1" applyFill="1" applyBorder="1" applyAlignment="1">
      <alignment horizontal="center" vertical="center" wrapText="1"/>
      <protection/>
    </xf>
    <xf numFmtId="3" fontId="7" fillId="13" borderId="3" xfId="24" applyNumberFormat="1" applyFont="1" applyFill="1" applyBorder="1" applyAlignment="1">
      <alignment horizontal="center" vertical="center" wrapText="1"/>
      <protection/>
    </xf>
    <xf numFmtId="3" fontId="8" fillId="13" borderId="3" xfId="24" applyNumberFormat="1" applyFont="1" applyFill="1" applyBorder="1" applyAlignment="1">
      <alignment horizontal="right" vertical="center" wrapText="1" indent="1"/>
      <protection/>
    </xf>
    <xf numFmtId="0" fontId="14" fillId="0" borderId="21" xfId="20" applyFont="1" applyBorder="1" applyAlignment="1">
      <alignment horizontal="left" vertical="center" wrapText="1" indent="1"/>
      <protection/>
    </xf>
    <xf numFmtId="3" fontId="14" fillId="0" borderId="7" xfId="20" applyNumberFormat="1" applyFont="1" applyFill="1" applyBorder="1" applyAlignment="1">
      <alignment horizontal="right" vertical="center" wrapText="1" indent="1"/>
      <protection/>
    </xf>
    <xf numFmtId="3" fontId="14" fillId="13" borderId="22" xfId="20" applyNumberFormat="1" applyFont="1" applyFill="1" applyBorder="1" applyAlignment="1">
      <alignment horizontal="right" vertical="center" wrapText="1" indent="1"/>
      <protection/>
    </xf>
    <xf numFmtId="0" fontId="14" fillId="0" borderId="0" xfId="20" applyFont="1" applyAlignment="1">
      <alignment vertical="center" wrapText="1"/>
      <protection/>
    </xf>
    <xf numFmtId="0" fontId="14" fillId="0" borderId="23" xfId="20" applyFont="1" applyBorder="1" applyAlignment="1">
      <alignment horizontal="left" vertical="center" wrapText="1" indent="1"/>
      <protection/>
    </xf>
    <xf numFmtId="3" fontId="14" fillId="0" borderId="3" xfId="20" applyNumberFormat="1" applyFont="1" applyFill="1" applyBorder="1" applyAlignment="1">
      <alignment horizontal="right" vertical="center" wrapText="1" indent="1"/>
      <protection/>
    </xf>
    <xf numFmtId="3" fontId="14" fillId="13" borderId="6" xfId="20" applyNumberFormat="1" applyFont="1" applyFill="1" applyBorder="1" applyAlignment="1">
      <alignment horizontal="right" vertical="center" wrapText="1" indent="1"/>
      <protection/>
    </xf>
    <xf numFmtId="0" fontId="14" fillId="0" borderId="23" xfId="20" applyFont="1" applyFill="1" applyBorder="1" applyAlignment="1">
      <alignment horizontal="left" vertical="center" wrapText="1" indent="1"/>
      <protection/>
    </xf>
    <xf numFmtId="0" fontId="14" fillId="0" borderId="24" xfId="20" applyFont="1" applyBorder="1" applyAlignment="1">
      <alignment horizontal="left" vertical="center" wrapText="1" indent="1"/>
      <protection/>
    </xf>
    <xf numFmtId="3" fontId="14" fillId="0" borderId="5" xfId="20" applyNumberFormat="1" applyFont="1" applyFill="1" applyBorder="1" applyAlignment="1">
      <alignment horizontal="right" vertical="center" wrapText="1" indent="1"/>
      <protection/>
    </xf>
    <xf numFmtId="3" fontId="14" fillId="13" borderId="11" xfId="20" applyNumberFormat="1" applyFont="1" applyFill="1" applyBorder="1" applyAlignment="1">
      <alignment horizontal="right" vertical="center" wrapText="1" indent="1"/>
      <protection/>
    </xf>
    <xf numFmtId="0" fontId="8" fillId="20" borderId="3" xfId="20" applyFont="1" applyFill="1" applyBorder="1" applyAlignment="1">
      <alignment horizontal="left" vertical="center" wrapText="1" indent="1"/>
      <protection/>
    </xf>
    <xf numFmtId="3" fontId="8" fillId="20" borderId="3" xfId="20" applyNumberFormat="1" applyFont="1" applyFill="1" applyBorder="1" applyAlignment="1">
      <alignment horizontal="center" vertical="center" wrapText="1"/>
      <protection/>
    </xf>
    <xf numFmtId="166" fontId="10" fillId="20" borderId="3" xfId="29" applyNumberFormat="1" applyFont="1" applyFill="1" applyBorder="1" applyAlignment="1">
      <alignment horizontal="right" vertical="center" wrapText="1" indent="1"/>
    </xf>
    <xf numFmtId="3" fontId="8" fillId="0" borderId="3" xfId="20" applyNumberFormat="1" applyFont="1" applyFill="1" applyBorder="1" applyAlignment="1">
      <alignment horizontal="center" vertical="center" wrapText="1"/>
      <protection/>
    </xf>
    <xf numFmtId="0" fontId="8" fillId="0" borderId="3" xfId="20" applyFont="1" applyFill="1" applyBorder="1" applyAlignment="1">
      <alignment horizontal="center" vertical="center" wrapText="1"/>
      <protection/>
    </xf>
    <xf numFmtId="0" fontId="8" fillId="0" borderId="3" xfId="20" applyFont="1" applyBorder="1" applyAlignment="1">
      <alignment horizontal="center" vertical="center" wrapText="1"/>
      <protection/>
    </xf>
    <xf numFmtId="0" fontId="8" fillId="13" borderId="3" xfId="20" applyFont="1" applyFill="1" applyBorder="1" applyAlignment="1">
      <alignment horizontal="center" vertical="center" wrapText="1"/>
      <protection/>
    </xf>
    <xf numFmtId="9" fontId="6" fillId="19" borderId="3" xfId="20" applyNumberFormat="1" applyFont="1" applyFill="1" applyBorder="1" applyAlignment="1">
      <alignment horizontal="center" vertical="center" wrapText="1"/>
      <protection/>
    </xf>
    <xf numFmtId="0" fontId="7" fillId="0" borderId="3" xfId="20" applyFont="1" applyBorder="1" applyAlignment="1">
      <alignment horizontal="left" vertical="center" wrapText="1" indent="1"/>
      <protection/>
    </xf>
    <xf numFmtId="0" fontId="7" fillId="0" borderId="3" xfId="20" applyFont="1" applyFill="1" applyBorder="1" applyAlignment="1">
      <alignment horizontal="left" vertical="center" wrapText="1" indent="1"/>
      <protection/>
    </xf>
    <xf numFmtId="166" fontId="10" fillId="19" borderId="3" xfId="29" applyNumberFormat="1" applyFont="1" applyFill="1" applyBorder="1" applyAlignment="1">
      <alignment horizontal="right" vertical="center" wrapText="1" indent="1"/>
    </xf>
    <xf numFmtId="0" fontId="8" fillId="19" borderId="3" xfId="20" applyFont="1" applyFill="1" applyBorder="1" applyAlignment="1">
      <alignment horizontal="center" vertical="center" wrapText="1"/>
      <protection/>
    </xf>
    <xf numFmtId="166" fontId="6" fillId="19" borderId="3" xfId="20" applyNumberFormat="1" applyFont="1" applyFill="1" applyBorder="1" applyAlignment="1">
      <alignment horizontal="center" vertical="center" wrapText="1"/>
      <protection/>
    </xf>
    <xf numFmtId="9" fontId="6" fillId="19" borderId="3" xfId="29" applyFont="1" applyFill="1" applyBorder="1" applyAlignment="1">
      <alignment horizontal="center" vertical="center" wrapText="1"/>
    </xf>
    <xf numFmtId="0" fontId="6" fillId="19" borderId="3" xfId="20" applyFont="1" applyFill="1" applyBorder="1" applyAlignment="1">
      <alignment horizontal="center" vertical="center" wrapText="1"/>
      <protection/>
    </xf>
    <xf numFmtId="166" fontId="6" fillId="19" borderId="3" xfId="29" applyNumberFormat="1" applyFont="1" applyFill="1" applyBorder="1" applyAlignment="1">
      <alignment horizontal="right" vertical="center" wrapText="1" indent="1"/>
    </xf>
    <xf numFmtId="3" fontId="8" fillId="0" borderId="3" xfId="20" applyNumberFormat="1" applyFont="1" applyBorder="1" applyAlignment="1">
      <alignment horizontal="center" vertical="center" wrapText="1"/>
      <protection/>
    </xf>
    <xf numFmtId="171" fontId="8" fillId="20" borderId="3" xfId="15" applyNumberFormat="1" applyFont="1" applyFill="1" applyBorder="1" applyAlignment="1">
      <alignment vertical="center" wrapText="1"/>
    </xf>
    <xf numFmtId="171" fontId="8" fillId="20" borderId="3" xfId="15" applyNumberFormat="1" applyFont="1" applyFill="1" applyBorder="1" applyAlignment="1">
      <alignment horizontal="center" vertical="center" wrapText="1"/>
    </xf>
    <xf numFmtId="171" fontId="8" fillId="20" borderId="3" xfId="15" applyNumberFormat="1" applyFont="1" applyFill="1" applyBorder="1" applyAlignment="1">
      <alignment horizontal="right" vertical="center" wrapText="1" indent="1"/>
    </xf>
    <xf numFmtId="171" fontId="8" fillId="20" borderId="3" xfId="15" applyNumberFormat="1" applyFont="1" applyFill="1" applyBorder="1" applyAlignment="1">
      <alignment horizontal="right" vertical="center" wrapText="1"/>
    </xf>
    <xf numFmtId="166" fontId="12" fillId="19" borderId="7" xfId="29" applyNumberFormat="1" applyFont="1" applyFill="1" applyBorder="1" applyAlignment="1">
      <alignment horizontal="right" vertical="center" wrapText="1"/>
    </xf>
    <xf numFmtId="166" fontId="12" fillId="19" borderId="25" xfId="29" applyNumberFormat="1" applyFont="1" applyFill="1" applyBorder="1" applyAlignment="1">
      <alignment horizontal="right" vertical="center" wrapText="1"/>
    </xf>
    <xf numFmtId="166" fontId="6" fillId="20" borderId="3" xfId="29" applyNumberFormat="1" applyFont="1" applyFill="1" applyBorder="1" applyAlignment="1">
      <alignment horizontal="right" vertical="center" wrapText="1"/>
    </xf>
    <xf numFmtId="166" fontId="12" fillId="19" borderId="7" xfId="29" applyNumberFormat="1" applyFont="1" applyFill="1" applyBorder="1" applyAlignment="1">
      <alignment vertical="center" wrapText="1"/>
    </xf>
    <xf numFmtId="166" fontId="12" fillId="19" borderId="25" xfId="29" applyNumberFormat="1" applyFont="1" applyFill="1" applyBorder="1" applyAlignment="1">
      <alignment vertical="center" wrapText="1"/>
    </xf>
    <xf numFmtId="171" fontId="25" fillId="20" borderId="3" xfId="26" applyNumberFormat="1" applyFont="1" applyFill="1" applyBorder="1" applyAlignment="1">
      <alignment horizontal="right" vertical="center" wrapText="1" indent="1"/>
      <protection/>
    </xf>
    <xf numFmtId="3" fontId="8" fillId="19" borderId="3" xfId="20" applyNumberFormat="1" applyFont="1" applyFill="1" applyBorder="1" applyAlignment="1">
      <alignment horizontal="right" vertical="center" wrapText="1" indent="1"/>
      <protection/>
    </xf>
    <xf numFmtId="171" fontId="8" fillId="20" borderId="3" xfId="20" applyNumberFormat="1" applyFont="1" applyFill="1" applyBorder="1" applyAlignment="1">
      <alignment horizontal="left" vertical="center" wrapText="1" indent="1"/>
      <protection/>
    </xf>
    <xf numFmtId="3" fontId="44" fillId="0" borderId="3" xfId="26" applyNumberFormat="1" applyFont="1" applyFill="1" applyBorder="1" applyAlignment="1">
      <alignment horizontal="right" vertical="center" wrapText="1" indent="1"/>
      <protection/>
    </xf>
    <xf numFmtId="3" fontId="43" fillId="20" borderId="3" xfId="15" applyNumberFormat="1" applyFont="1" applyFill="1" applyBorder="1" applyAlignment="1">
      <alignment horizontal="right" vertical="center" wrapText="1" indent="1"/>
    </xf>
    <xf numFmtId="3" fontId="31" fillId="13" borderId="3" xfId="0" applyNumberFormat="1" applyFont="1" applyFill="1" applyBorder="1" applyAlignment="1">
      <alignment horizontal="center" vertical="center" wrapText="1"/>
    </xf>
    <xf numFmtId="3" fontId="7" fillId="20" borderId="3" xfId="0" applyNumberFormat="1" applyFont="1" applyFill="1" applyBorder="1" applyAlignment="1">
      <alignment horizontal="right" vertical="center" wrapText="1" indent="1"/>
    </xf>
    <xf numFmtId="3" fontId="8" fillId="20" borderId="3" xfId="24" applyNumberFormat="1" applyFont="1" applyFill="1" applyBorder="1" applyAlignment="1">
      <alignment horizontal="right" vertical="center" wrapText="1" indent="1"/>
      <protection/>
    </xf>
    <xf numFmtId="166" fontId="6" fillId="20" borderId="3" xfId="29" applyNumberFormat="1" applyFont="1" applyFill="1" applyBorder="1" applyAlignment="1">
      <alignment vertical="center" wrapText="1"/>
    </xf>
    <xf numFmtId="3" fontId="7" fillId="0" borderId="3" xfId="20" applyNumberFormat="1" applyFont="1" applyFill="1" applyBorder="1" applyAlignment="1">
      <alignment horizontal="left" vertical="center" wrapText="1" indent="1"/>
      <protection/>
    </xf>
    <xf numFmtId="0" fontId="8" fillId="0" borderId="0" xfId="0" applyFont="1" applyAlignment="1">
      <alignment vertical="top"/>
    </xf>
    <xf numFmtId="0" fontId="7" fillId="0" borderId="0" xfId="0" applyFont="1" applyAlignment="1">
      <alignment vertical="top"/>
    </xf>
    <xf numFmtId="3" fontId="7" fillId="0" borderId="3" xfId="21" applyNumberFormat="1" applyFont="1" applyFill="1" applyBorder="1" applyAlignment="1">
      <alignment horizontal="right" indent="6"/>
      <protection/>
    </xf>
    <xf numFmtId="3" fontId="8" fillId="21" borderId="3" xfId="21" applyNumberFormat="1" applyFont="1" applyFill="1" applyBorder="1" applyAlignment="1">
      <alignment horizontal="right" indent="5"/>
      <protection/>
    </xf>
    <xf numFmtId="3" fontId="7" fillId="0" borderId="3" xfId="21" applyNumberFormat="1" applyFont="1" applyFill="1" applyBorder="1" applyAlignment="1">
      <alignment horizontal="right" vertical="center" wrapText="1" indent="6"/>
      <protection/>
    </xf>
    <xf numFmtId="3" fontId="9" fillId="0" borderId="0" xfId="21" applyNumberFormat="1" applyFont="1" applyBorder="1" applyAlignment="1">
      <alignment vertical="center" wrapText="1"/>
      <protection/>
    </xf>
    <xf numFmtId="0" fontId="7" fillId="23" borderId="3" xfId="21" applyNumberFormat="1" applyFont="1" applyFill="1" applyBorder="1" applyAlignment="1">
      <alignment horizontal="left" vertical="top" wrapText="1" indent="1"/>
      <protection/>
    </xf>
    <xf numFmtId="3" fontId="8" fillId="23" borderId="3" xfId="21" applyNumberFormat="1" applyFont="1" applyFill="1" applyBorder="1" applyAlignment="1">
      <alignment horizontal="right" indent="6"/>
      <protection/>
    </xf>
    <xf numFmtId="166" fontId="6" fillId="23" borderId="3" xfId="21" applyNumberFormat="1" applyFont="1" applyFill="1" applyBorder="1" applyAlignment="1">
      <alignment horizontal="right" vertical="center" wrapText="1" indent="6"/>
      <protection/>
    </xf>
    <xf numFmtId="3" fontId="7" fillId="0" borderId="3" xfId="21" applyNumberFormat="1" applyFont="1" applyBorder="1" applyAlignment="1">
      <alignment horizontal="left" indent="1"/>
      <protection/>
    </xf>
    <xf numFmtId="3" fontId="7" fillId="0" borderId="3" xfId="21" applyNumberFormat="1" applyFont="1" applyBorder="1" applyAlignment="1">
      <alignment horizontal="right" indent="6"/>
      <protection/>
    </xf>
    <xf numFmtId="166" fontId="6" fillId="21" borderId="3" xfId="21" applyNumberFormat="1" applyFont="1" applyFill="1" applyBorder="1" applyAlignment="1">
      <alignment horizontal="right" vertical="center" wrapText="1" indent="6"/>
      <protection/>
    </xf>
    <xf numFmtId="3" fontId="7" fillId="0" borderId="5" xfId="21" applyNumberFormat="1" applyFont="1" applyBorder="1" applyAlignment="1">
      <alignment horizontal="left" indent="1"/>
      <protection/>
    </xf>
    <xf numFmtId="3" fontId="7" fillId="0" borderId="5" xfId="21" applyNumberFormat="1" applyFont="1" applyBorder="1" applyAlignment="1">
      <alignment horizontal="right" indent="6"/>
      <protection/>
    </xf>
    <xf numFmtId="166" fontId="6" fillId="21" borderId="5" xfId="21" applyNumberFormat="1" applyFont="1" applyFill="1" applyBorder="1" applyAlignment="1">
      <alignment horizontal="right" vertical="center" wrapText="1" indent="6"/>
      <protection/>
    </xf>
    <xf numFmtId="3" fontId="8" fillId="22" borderId="26" xfId="21" applyNumberFormat="1" applyFont="1" applyFill="1" applyBorder="1" applyAlignment="1">
      <alignment horizontal="left" indent="1"/>
      <protection/>
    </xf>
    <xf numFmtId="3" fontId="8" fillId="22" borderId="27" xfId="21" applyNumberFormat="1" applyFont="1" applyFill="1" applyBorder="1" applyAlignment="1">
      <alignment horizontal="right" indent="6"/>
      <protection/>
    </xf>
    <xf numFmtId="166" fontId="6" fillId="20" borderId="28" xfId="21" applyNumberFormat="1" applyFont="1" applyFill="1" applyBorder="1" applyAlignment="1">
      <alignment horizontal="right" vertical="center" wrapText="1" indent="6"/>
      <protection/>
    </xf>
    <xf numFmtId="3" fontId="9" fillId="0" borderId="0" xfId="21" applyNumberFormat="1" applyFont="1" applyFill="1" applyBorder="1" applyAlignment="1">
      <alignment horizontal="center" vertical="center" wrapText="1"/>
      <protection/>
    </xf>
    <xf numFmtId="0" fontId="9" fillId="0" borderId="0" xfId="21" applyFont="1" applyBorder="1" applyAlignment="1">
      <alignment horizontal="center" vertical="center" wrapText="1"/>
      <protection/>
    </xf>
    <xf numFmtId="3" fontId="9" fillId="0" borderId="0" xfId="21" applyNumberFormat="1" applyFont="1" applyBorder="1" applyAlignment="1">
      <alignment horizontal="center" vertical="center" wrapText="1"/>
      <protection/>
    </xf>
    <xf numFmtId="3" fontId="9" fillId="0" borderId="29" xfId="21" applyNumberFormat="1" applyFont="1" applyBorder="1" applyAlignment="1">
      <alignment horizontal="center" vertical="center" wrapText="1"/>
      <protection/>
    </xf>
    <xf numFmtId="3" fontId="9" fillId="0" borderId="29" xfId="21" applyNumberFormat="1" applyFont="1" applyBorder="1" applyAlignment="1">
      <alignment horizontal="center" vertical="center" wrapText="1"/>
      <protection/>
    </xf>
    <xf numFmtId="3" fontId="9" fillId="0" borderId="0" xfId="21" applyNumberFormat="1" applyFont="1" applyBorder="1" applyAlignment="1">
      <alignment horizontal="center" vertical="center" wrapText="1"/>
      <protection/>
    </xf>
    <xf numFmtId="3" fontId="37" fillId="0" borderId="29" xfId="0" applyNumberFormat="1" applyFont="1" applyFill="1" applyBorder="1" applyAlignment="1">
      <alignment horizontal="center" vertical="center" wrapText="1"/>
    </xf>
    <xf numFmtId="3" fontId="37" fillId="0" borderId="29" xfId="0" applyNumberFormat="1" applyFont="1" applyFill="1" applyBorder="1" applyAlignment="1">
      <alignment horizontal="center" vertical="center" wrapText="1"/>
    </xf>
    <xf numFmtId="3" fontId="9" fillId="0" borderId="29" xfId="0" applyNumberFormat="1" applyFont="1" applyFill="1" applyBorder="1" applyAlignment="1">
      <alignment horizontal="center" vertical="center" wrapText="1"/>
    </xf>
    <xf numFmtId="0" fontId="27" fillId="0" borderId="4" xfId="0" applyFont="1" applyBorder="1" applyAlignment="1">
      <alignment horizontal="left" vertical="top" wrapText="1"/>
    </xf>
    <xf numFmtId="3" fontId="9" fillId="0" borderId="0" xfId="0" applyNumberFormat="1" applyFont="1" applyFill="1" applyBorder="1" applyAlignment="1">
      <alignment horizontal="center" vertical="center" wrapText="1"/>
    </xf>
    <xf numFmtId="3" fontId="9" fillId="24" borderId="0" xfId="0" applyNumberFormat="1" applyFont="1" applyFill="1" applyBorder="1" applyAlignment="1">
      <alignment horizontal="center" vertical="center" wrapText="1"/>
    </xf>
    <xf numFmtId="3" fontId="9" fillId="0" borderId="0" xfId="22" applyNumberFormat="1" applyFont="1" applyFill="1" applyBorder="1" applyAlignment="1">
      <alignment horizontal="center" vertical="center" wrapText="1"/>
      <protection/>
    </xf>
    <xf numFmtId="0" fontId="27" fillId="0" borderId="0" xfId="0" applyFont="1" applyAlignment="1">
      <alignment horizontal="left" wrapText="1"/>
    </xf>
    <xf numFmtId="3" fontId="9" fillId="0" borderId="0" xfId="23" applyNumberFormat="1" applyFont="1" applyBorder="1" applyAlignment="1">
      <alignment horizontal="center" vertical="center" wrapText="1"/>
      <protection/>
    </xf>
    <xf numFmtId="3" fontId="8" fillId="0" borderId="3" xfId="23" applyNumberFormat="1" applyFont="1" applyFill="1" applyBorder="1" applyAlignment="1">
      <alignment horizontal="center" vertical="center" wrapText="1"/>
      <protection/>
    </xf>
    <xf numFmtId="4" fontId="8" fillId="0" borderId="3" xfId="23" applyNumberFormat="1" applyFont="1" applyFill="1" applyBorder="1" applyAlignment="1">
      <alignment horizontal="center" vertical="center" wrapText="1"/>
      <protection/>
    </xf>
    <xf numFmtId="3" fontId="8" fillId="13" borderId="3" xfId="23" applyNumberFormat="1" applyFont="1" applyFill="1" applyBorder="1" applyAlignment="1">
      <alignment horizontal="center" vertical="center" textRotation="90" wrapText="1"/>
      <protection/>
    </xf>
    <xf numFmtId="3" fontId="8" fillId="19" borderId="3" xfId="23" applyNumberFormat="1" applyFont="1" applyFill="1" applyBorder="1" applyAlignment="1">
      <alignment horizontal="center" vertical="center" textRotation="90" wrapText="1"/>
      <protection/>
    </xf>
    <xf numFmtId="0" fontId="27" fillId="0" borderId="0" xfId="0" applyFont="1" applyFill="1" applyBorder="1" applyAlignment="1">
      <alignment horizontal="left" wrapText="1"/>
    </xf>
    <xf numFmtId="0" fontId="18" fillId="0" borderId="0" xfId="0" applyFont="1" applyAlignment="1">
      <alignment horizontal="center" vertical="center" wrapText="1"/>
    </xf>
    <xf numFmtId="0" fontId="27" fillId="0" borderId="0" xfId="0" applyFont="1" applyAlignment="1">
      <alignment horizontal="left" vertical="top" wrapText="1"/>
    </xf>
    <xf numFmtId="0" fontId="8" fillId="0" borderId="3" xfId="0" applyFont="1" applyBorder="1" applyAlignment="1">
      <alignment horizontal="center"/>
    </xf>
    <xf numFmtId="9" fontId="8" fillId="19" borderId="3" xfId="0" applyNumberFormat="1" applyFont="1" applyFill="1" applyBorder="1" applyAlignment="1">
      <alignment horizontal="center" vertical="center" wrapText="1"/>
    </xf>
    <xf numFmtId="0" fontId="8" fillId="0" borderId="3" xfId="0" applyFont="1" applyBorder="1" applyAlignment="1">
      <alignment horizontal="center" vertical="center"/>
    </xf>
    <xf numFmtId="0" fontId="9" fillId="0" borderId="0" xfId="0" applyFont="1" applyAlignment="1">
      <alignment horizontal="center" vertical="center" wrapText="1"/>
    </xf>
    <xf numFmtId="0" fontId="27" fillId="0" borderId="0" xfId="0" applyFont="1" applyAlignment="1">
      <alignment horizontal="left" vertical="center" wrapText="1"/>
    </xf>
    <xf numFmtId="3" fontId="8" fillId="0" borderId="3" xfId="0" applyNumberFormat="1" applyFont="1" applyFill="1" applyBorder="1" applyAlignment="1">
      <alignment horizontal="center" vertical="center" wrapText="1"/>
    </xf>
    <xf numFmtId="0" fontId="8" fillId="0" borderId="3" xfId="0" applyFont="1" applyBorder="1" applyAlignment="1">
      <alignment horizontal="left"/>
    </xf>
    <xf numFmtId="3" fontId="8" fillId="13" borderId="3" xfId="0" applyNumberFormat="1" applyFont="1" applyFill="1" applyBorder="1" applyAlignment="1">
      <alignment horizontal="center" vertical="center" wrapText="1"/>
    </xf>
    <xf numFmtId="3" fontId="8" fillId="0" borderId="3" xfId="0" applyNumberFormat="1" applyFont="1" applyBorder="1" applyAlignment="1">
      <alignment horizontal="left" vertical="center" wrapText="1"/>
    </xf>
    <xf numFmtId="3" fontId="18" fillId="0" borderId="0" xfId="0" applyNumberFormat="1" applyFont="1" applyFill="1" applyBorder="1" applyAlignment="1">
      <alignment horizontal="center" vertical="center" wrapText="1"/>
    </xf>
    <xf numFmtId="3" fontId="8" fillId="0" borderId="3" xfId="0" applyNumberFormat="1" applyFont="1" applyBorder="1" applyAlignment="1">
      <alignment horizontal="center" vertical="center" wrapText="1"/>
    </xf>
    <xf numFmtId="3" fontId="9" fillId="0" borderId="0" xfId="20" applyNumberFormat="1" applyFont="1" applyFill="1" applyBorder="1" applyAlignment="1">
      <alignment horizontal="center" vertical="center" wrapText="1"/>
      <protection/>
    </xf>
    <xf numFmtId="3" fontId="9" fillId="0" borderId="29" xfId="25" applyNumberFormat="1" applyFont="1" applyFill="1" applyBorder="1" applyAlignment="1">
      <alignment horizontal="center" vertical="center" wrapText="1"/>
      <protection/>
    </xf>
    <xf numFmtId="3" fontId="7" fillId="0" borderId="30" xfId="20" applyNumberFormat="1" applyFont="1" applyBorder="1" applyAlignment="1">
      <alignment horizontal="justify" vertical="top" wrapText="1"/>
      <protection/>
    </xf>
    <xf numFmtId="3" fontId="7" fillId="0" borderId="17" xfId="20" applyNumberFormat="1" applyFont="1" applyBorder="1" applyAlignment="1">
      <alignment horizontal="justify" vertical="top" wrapText="1"/>
      <protection/>
    </xf>
    <xf numFmtId="3" fontId="7" fillId="0" borderId="31" xfId="20" applyNumberFormat="1" applyFont="1" applyBorder="1" applyAlignment="1">
      <alignment horizontal="justify" vertical="top" wrapText="1"/>
      <protection/>
    </xf>
    <xf numFmtId="3" fontId="7" fillId="0" borderId="0" xfId="20" applyNumberFormat="1" applyFont="1" applyAlignment="1">
      <alignment horizontal="left" vertical="center" wrapText="1"/>
      <protection/>
    </xf>
    <xf numFmtId="3" fontId="7" fillId="13" borderId="32" xfId="20" applyNumberFormat="1" applyFont="1" applyFill="1" applyBorder="1" applyAlignment="1">
      <alignment horizontal="left" vertical="center" wrapText="1"/>
      <protection/>
    </xf>
    <xf numFmtId="3" fontId="7" fillId="13" borderId="33" xfId="20" applyNumberFormat="1" applyFont="1" applyFill="1" applyBorder="1" applyAlignment="1">
      <alignment horizontal="left" vertical="center" wrapText="1"/>
      <protection/>
    </xf>
    <xf numFmtId="3" fontId="9" fillId="0" borderId="0" xfId="24" applyNumberFormat="1" applyFont="1" applyBorder="1" applyAlignment="1">
      <alignment horizontal="center" vertical="center" wrapText="1"/>
      <protection/>
    </xf>
    <xf numFmtId="3" fontId="8" fillId="0" borderId="3" xfId="24" applyNumberFormat="1" applyFont="1" applyBorder="1" applyAlignment="1">
      <alignment horizontal="center" vertical="center" wrapText="1"/>
      <protection/>
    </xf>
    <xf numFmtId="0" fontId="18" fillId="0" borderId="3" xfId="0" applyFont="1" applyBorder="1" applyAlignment="1">
      <alignment horizontal="center" vertical="center" wrapText="1"/>
    </xf>
    <xf numFmtId="3" fontId="9" fillId="0" borderId="0" xfId="26" applyNumberFormat="1" applyFont="1" applyBorder="1" applyAlignment="1">
      <alignment horizontal="center" vertical="center" wrapText="1"/>
      <protection/>
    </xf>
    <xf numFmtId="3" fontId="9" fillId="0" borderId="3" xfId="26" applyNumberFormat="1" applyFont="1" applyBorder="1" applyAlignment="1">
      <alignment horizontal="center" vertical="center" wrapText="1"/>
      <protection/>
    </xf>
    <xf numFmtId="3" fontId="8" fillId="0" borderId="3" xfId="26" applyNumberFormat="1" applyFont="1" applyFill="1" applyBorder="1" applyAlignment="1">
      <alignment horizontal="center" vertical="center" wrapText="1"/>
      <protection/>
    </xf>
    <xf numFmtId="3" fontId="9" fillId="0" borderId="0" xfId="20" applyNumberFormat="1" applyFont="1" applyBorder="1" applyAlignment="1">
      <alignment horizontal="center" vertical="center" wrapText="1"/>
      <protection/>
    </xf>
    <xf numFmtId="3" fontId="8" fillId="0" borderId="3" xfId="20" applyNumberFormat="1" applyFont="1" applyFill="1" applyBorder="1" applyAlignment="1">
      <alignment horizontal="center" vertical="center" wrapText="1"/>
      <protection/>
    </xf>
    <xf numFmtId="0" fontId="9" fillId="0" borderId="0" xfId="0" applyFont="1" applyAlignment="1">
      <alignment horizontal="center" vertical="center"/>
    </xf>
  </cellXfs>
  <cellStyles count="55">
    <cellStyle name="Normal" xfId="0"/>
    <cellStyle name="Comma" xfId="15"/>
    <cellStyle name="Comma [0]" xfId="16"/>
    <cellStyle name="Hyperlink" xfId="17"/>
    <cellStyle name="Currency" xfId="18"/>
    <cellStyle name="Currency [0]" xfId="19"/>
    <cellStyle name="normálne_Databazy_VVŠ_2006_ severská" xfId="20"/>
    <cellStyle name="normálne_OVT - Tab_16az23_sprava_VVS_2004" xfId="21"/>
    <cellStyle name="normálne_správa_2005_tabuľky_v7_hodnoty" xfId="22"/>
    <cellStyle name="normálne_sprava_VVŠ_2003_tabuľky_vláda_predfinal" xfId="23"/>
    <cellStyle name="normálne_sprava_VVŠ_2004_tabuľky_vláda" xfId="24"/>
    <cellStyle name="normálne_Viest 2" xfId="25"/>
    <cellStyle name="normálne_Výročná_správa_o_VŠ_2005_financie_databazy_po_kontrole_OFVŠ_PM" xfId="26"/>
    <cellStyle name="normální_List1" xfId="27"/>
    <cellStyle name="normální_Tabuľky_VVŠ_26_03_2007" xfId="28"/>
    <cellStyle name="Percent" xfId="29"/>
    <cellStyle name="Followed Hyperlink" xfId="30"/>
    <cellStyle name="SAPBEXaggData" xfId="31"/>
    <cellStyle name="SAPBEXaggDataEmph" xfId="32"/>
    <cellStyle name="SAPBEXaggItem" xfId="33"/>
    <cellStyle name="SAPBEXaggItemX" xfId="34"/>
    <cellStyle name="SAPBEXexcBad7" xfId="35"/>
    <cellStyle name="SAPBEXexcBad8" xfId="36"/>
    <cellStyle name="SAPBEXexcBad9" xfId="37"/>
    <cellStyle name="SAPBEXexcCritical4" xfId="38"/>
    <cellStyle name="SAPBEXexcCritical5" xfId="39"/>
    <cellStyle name="SAPBEXexcCritical6" xfId="40"/>
    <cellStyle name="SAPBEXexcGood1" xfId="41"/>
    <cellStyle name="SAPBEXexcGood2" xfId="42"/>
    <cellStyle name="SAPBEXexcGood3" xfId="43"/>
    <cellStyle name="SAPBEXfilterDrill" xfId="44"/>
    <cellStyle name="SAPBEXfilterItem" xfId="45"/>
    <cellStyle name="SAPBEXfilterText" xfId="46"/>
    <cellStyle name="SAPBEXformats" xfId="47"/>
    <cellStyle name="SAPBEXheaderItem" xfId="48"/>
    <cellStyle name="SAPBEXheaderText" xfId="49"/>
    <cellStyle name="SAPBEXHLevel0" xfId="50"/>
    <cellStyle name="SAPBEXHLevel0X" xfId="51"/>
    <cellStyle name="SAPBEXHLevel1" xfId="52"/>
    <cellStyle name="SAPBEXHLevel1X" xfId="53"/>
    <cellStyle name="SAPBEXHLevel2" xfId="54"/>
    <cellStyle name="SAPBEXHLevel2X" xfId="55"/>
    <cellStyle name="SAPBEXHLevel3" xfId="56"/>
    <cellStyle name="SAPBEXHLevel3X" xfId="57"/>
    <cellStyle name="SAPBEXchaText" xfId="58"/>
    <cellStyle name="SAPBEXresData" xfId="59"/>
    <cellStyle name="SAPBEXresDataEmph" xfId="60"/>
    <cellStyle name="SAPBEXresItem" xfId="61"/>
    <cellStyle name="SAPBEXresItemX" xfId="62"/>
    <cellStyle name="SAPBEXstdData" xfId="63"/>
    <cellStyle name="SAPBEXstdDataEmph" xfId="64"/>
    <cellStyle name="SAPBEXstdItem" xfId="65"/>
    <cellStyle name="SAPBEXstdItemX" xfId="66"/>
    <cellStyle name="SAPBEXtitle" xfId="67"/>
    <cellStyle name="SAPBEXundefined" xfId="68"/>
  </cellStyles>
  <dxfs count="3">
    <dxf>
      <font>
        <b/>
        <i val="0"/>
        <color rgb="FF339966"/>
      </font>
      <border/>
    </dxf>
    <dxf>
      <font>
        <b/>
        <i val="0"/>
        <color rgb="FFFF0000"/>
      </font>
      <border/>
    </dxf>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latin typeface="Arial"/>
              <a:ea typeface="Arial"/>
              <a:cs typeface="Arial"/>
            </a:defRPr>
          </a:pPr>
        </a:p>
      </c:txPr>
    </c:title>
    <c:plotArea>
      <c:layout/>
      <c:pieChart>
        <c:varyColors val="1"/>
        <c:ser>
          <c:idx val="0"/>
          <c:order val="0"/>
          <c:tx>
            <c:v>Podiel sektoru na celkovom objeme pridelených finančných prostriedkov 
(v %) </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1"/>
            <c:showSerName val="0"/>
            <c:showLeaderLines val="1"/>
            <c:showPercent val="0"/>
          </c:dLbls>
          <c:cat>
            <c:strLit>
              <c:ptCount val="4"/>
              <c:pt idx="0">
                <c:v>Štátny sektor (bez SAV)</c:v>
              </c:pt>
              <c:pt idx="1">
                <c:v>Slovenská akadémia vied</c:v>
              </c:pt>
              <c:pt idx="2">
                <c:v>Podnikateľský sektor</c:v>
              </c:pt>
              <c:pt idx="3">
                <c:v>Neziskové organizácie</c:v>
              </c:pt>
            </c:strLit>
          </c:cat>
          <c:val>
            <c:numLit>
              <c:ptCount val="4"/>
              <c:pt idx="0">
                <c:v>15.160569291123071</c:v>
              </c:pt>
              <c:pt idx="1">
                <c:v>31.888817930237508</c:v>
              </c:pt>
              <c:pt idx="2">
                <c:v>27.435909132378434</c:v>
              </c:pt>
              <c:pt idx="3">
                <c:v>2.418422893288325</c:v>
              </c:pt>
            </c:numLit>
          </c:val>
        </c:ser>
      </c:pieChart>
      <c:spPr>
        <a:noFill/>
        <a:ln>
          <a:noFill/>
        </a:ln>
      </c:spPr>
    </c:plotArea>
    <c:legend>
      <c:legendPos val="b"/>
      <c:layout/>
      <c:overlay val="0"/>
      <c:txPr>
        <a:bodyPr vert="horz" rot="0"/>
        <a:lstStyle/>
        <a:p>
          <a:pPr>
            <a:defRPr lang="en-US" cap="none" sz="175" b="0" i="0" u="none" baseline="0">
              <a:latin typeface="Arial"/>
              <a:ea typeface="Arial"/>
              <a:cs typeface="Arial"/>
            </a:defRPr>
          </a:pPr>
        </a:p>
      </c:txPr>
    </c:legend>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latin typeface="Arial"/>
              <a:ea typeface="Arial"/>
              <a:cs typeface="Arial"/>
            </a:defRPr>
          </a:pPr>
        </a:p>
      </c:txPr>
    </c:title>
    <c:plotArea>
      <c:layout/>
      <c:pieChart>
        <c:varyColors val="1"/>
        <c:ser>
          <c:idx val="0"/>
          <c:order val="0"/>
          <c:tx>
            <c:v>Podiel sektoru na celkovom objeme pridelených finančných prostriedkov 
(v %) </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1"/>
            <c:showSerName val="0"/>
            <c:showLeaderLines val="1"/>
            <c:showPercent val="0"/>
          </c:dLbls>
          <c:cat>
            <c:strLit>
              <c:ptCount val="4"/>
              <c:pt idx="0">
                <c:v>Štátny sektor (bez SAV)</c:v>
              </c:pt>
              <c:pt idx="1">
                <c:v>Slovenská akadémia vied</c:v>
              </c:pt>
              <c:pt idx="2">
                <c:v>Podnikateľský sektor</c:v>
              </c:pt>
              <c:pt idx="3">
                <c:v>Neziskové organizácie</c:v>
              </c:pt>
            </c:strLit>
          </c:cat>
          <c:val>
            <c:numLit>
              <c:ptCount val="4"/>
              <c:pt idx="0">
                <c:v>15.160569291123071</c:v>
              </c:pt>
              <c:pt idx="1">
                <c:v>31.888817930237508</c:v>
              </c:pt>
              <c:pt idx="2">
                <c:v>27.435909132378434</c:v>
              </c:pt>
              <c:pt idx="3">
                <c:v>2.418422893288325</c:v>
              </c:pt>
            </c:numLit>
          </c:val>
        </c:ser>
      </c:pieChart>
      <c:spPr>
        <a:noFill/>
        <a:ln>
          <a:noFill/>
        </a:ln>
      </c:spPr>
    </c:plotArea>
    <c:legend>
      <c:legendPos val="b"/>
      <c:layout/>
      <c:overlay val="0"/>
      <c:txPr>
        <a:bodyPr vert="horz" rot="0"/>
        <a:lstStyle/>
        <a:p>
          <a:pPr>
            <a:defRPr lang="en-US" cap="none" sz="175" b="0" i="0" u="none" baseline="0">
              <a:latin typeface="Arial"/>
              <a:ea typeface="Arial"/>
              <a:cs typeface="Arial"/>
            </a:defRPr>
          </a:pPr>
        </a:p>
      </c:txPr>
    </c:legend>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 b="1" i="0" u="none" baseline="0">
                <a:latin typeface="Arial"/>
                <a:ea typeface="Arial"/>
                <a:cs typeface="Arial"/>
              </a:rPr>
              <a:t>Hlavný nadpis</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99FF"/>
              </a:solidFill>
              <a:ln w="3175">
                <a:solidFill>
                  <a:srgbClr val="000000"/>
                </a:solidFill>
              </a:ln>
            </c:spPr>
          </c:dPt>
          <c:dLbls>
            <c:dLbl>
              <c:idx val="0"/>
              <c:txPr>
                <a:bodyPr vert="horz" rot="0" anchor="ctr"/>
                <a:lstStyle/>
                <a:p>
                  <a:pPr algn="ctr">
                    <a:defRPr lang="en-US" cap="none" sz="1000" b="0" i="0" u="none" baseline="0"/>
                  </a:pPr>
                </a:p>
              </c:txPr>
              <c:numFmt formatCode="General" sourceLinked="1"/>
              <c:showLegendKey val="0"/>
              <c:showVal val="0"/>
              <c:showBubbleSize val="0"/>
              <c:showCatName val="0"/>
              <c:showSerName val="0"/>
              <c:showPercent val="0"/>
            </c:dLbl>
            <c:delete val="1"/>
          </c:dLbls>
          <c:val>
            <c:numLit>
              <c:ptCount val="1"/>
              <c:pt idx="0">
                <c:v>0</c:v>
              </c:pt>
            </c:numLit>
          </c:val>
        </c:ser>
      </c:pieChart>
      <c:spPr>
        <a:noFill/>
        <a:ln>
          <a:noFill/>
        </a:ln>
      </c:spPr>
    </c:plotArea>
    <c:legend>
      <c:legendPos val="b"/>
      <c:layout/>
      <c:overlay val="0"/>
      <c:spPr>
        <a:noFill/>
        <a:ln w="3175">
          <a:solidFill>
            <a:srgbClr val="000000"/>
          </a:solidFill>
        </a:ln>
      </c:spPr>
      <c:txPr>
        <a:bodyPr vert="horz" rot="0"/>
        <a:lstStyle/>
        <a:p>
          <a:pPr>
            <a:defRPr lang="en-US" cap="none" sz="18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 b="1" i="0" u="none" baseline="0">
                <a:latin typeface="Arial"/>
                <a:ea typeface="Arial"/>
                <a:cs typeface="Arial"/>
              </a:rPr>
              <a:t>Hlavný nadpis</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99FF"/>
              </a:solidFill>
              <a:ln w="3175">
                <a:solidFill>
                  <a:srgbClr val="000000"/>
                </a:solidFill>
              </a:ln>
            </c:spPr>
          </c:dPt>
          <c:dLbls>
            <c:dLbl>
              <c:idx val="0"/>
              <c:txPr>
                <a:bodyPr vert="horz" rot="0" anchor="ctr"/>
                <a:lstStyle/>
                <a:p>
                  <a:pPr algn="ctr">
                    <a:defRPr lang="en-US" cap="none" sz="1000" b="0" i="0" u="none" baseline="0"/>
                  </a:pPr>
                </a:p>
              </c:txPr>
              <c:numFmt formatCode="General" sourceLinked="1"/>
              <c:showLegendKey val="0"/>
              <c:showVal val="0"/>
              <c:showBubbleSize val="0"/>
              <c:showCatName val="0"/>
              <c:showSerName val="0"/>
              <c:showPercent val="0"/>
            </c:dLbl>
            <c:delete val="1"/>
          </c:dLbls>
          <c:val>
            <c:numLit>
              <c:ptCount val="1"/>
              <c:pt idx="0">
                <c:v>0</c:v>
              </c:pt>
            </c:numLit>
          </c:val>
        </c:ser>
      </c:pieChart>
      <c:spPr>
        <a:noFill/>
        <a:ln>
          <a:noFill/>
        </a:ln>
      </c:spPr>
    </c:plotArea>
    <c:legend>
      <c:legendPos val="b"/>
      <c:layout/>
      <c:overlay val="0"/>
      <c:spPr>
        <a:noFill/>
        <a:ln w="3175">
          <a:solidFill>
            <a:srgbClr val="000000"/>
          </a:solidFill>
        </a:ln>
      </c:spPr>
      <c:txPr>
        <a:bodyPr vert="horz" rot="0"/>
        <a:lstStyle/>
        <a:p>
          <a:pPr>
            <a:defRPr lang="en-US" cap="none" sz="18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3</xdr:col>
      <xdr:colOff>47625</xdr:colOff>
      <xdr:row>8</xdr:row>
      <xdr:rowOff>0</xdr:rowOff>
    </xdr:to>
    <xdr:graphicFrame>
      <xdr:nvGraphicFramePr>
        <xdr:cNvPr id="1" name="Chart 1"/>
        <xdr:cNvGraphicFramePr/>
      </xdr:nvGraphicFramePr>
      <xdr:xfrm>
        <a:off x="0" y="3314700"/>
        <a:ext cx="76962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xdr:row>
      <xdr:rowOff>0</xdr:rowOff>
    </xdr:from>
    <xdr:to>
      <xdr:col>3</xdr:col>
      <xdr:colOff>47625</xdr:colOff>
      <xdr:row>8</xdr:row>
      <xdr:rowOff>0</xdr:rowOff>
    </xdr:to>
    <xdr:graphicFrame>
      <xdr:nvGraphicFramePr>
        <xdr:cNvPr id="2" name="Chart 2"/>
        <xdr:cNvGraphicFramePr/>
      </xdr:nvGraphicFramePr>
      <xdr:xfrm>
        <a:off x="0" y="3314700"/>
        <a:ext cx="76962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xdr:row>
      <xdr:rowOff>0</xdr:rowOff>
    </xdr:from>
    <xdr:to>
      <xdr:col>3</xdr:col>
      <xdr:colOff>47625</xdr:colOff>
      <xdr:row>8</xdr:row>
      <xdr:rowOff>0</xdr:rowOff>
    </xdr:to>
    <xdr:graphicFrame>
      <xdr:nvGraphicFramePr>
        <xdr:cNvPr id="3" name="Chart 3"/>
        <xdr:cNvGraphicFramePr/>
      </xdr:nvGraphicFramePr>
      <xdr:xfrm>
        <a:off x="0" y="3314700"/>
        <a:ext cx="76962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xdr:row>
      <xdr:rowOff>0</xdr:rowOff>
    </xdr:from>
    <xdr:to>
      <xdr:col>3</xdr:col>
      <xdr:colOff>47625</xdr:colOff>
      <xdr:row>8</xdr:row>
      <xdr:rowOff>0</xdr:rowOff>
    </xdr:to>
    <xdr:graphicFrame>
      <xdr:nvGraphicFramePr>
        <xdr:cNvPr id="4" name="Chart 4"/>
        <xdr:cNvGraphicFramePr/>
      </xdr:nvGraphicFramePr>
      <xdr:xfrm>
        <a:off x="0" y="3314700"/>
        <a:ext cx="7696200" cy="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95250</xdr:rowOff>
    </xdr:from>
    <xdr:to>
      <xdr:col>12</xdr:col>
      <xdr:colOff>371475</xdr:colOff>
      <xdr:row>31</xdr:row>
      <xdr:rowOff>85725</xdr:rowOff>
    </xdr:to>
    <xdr:pic>
      <xdr:nvPicPr>
        <xdr:cNvPr id="1" name="Picture 2"/>
        <xdr:cNvPicPr preferRelativeResize="1">
          <a:picLocks noChangeAspect="1"/>
        </xdr:cNvPicPr>
      </xdr:nvPicPr>
      <xdr:blipFill>
        <a:blip r:embed="rId1"/>
        <a:stretch>
          <a:fillRect/>
        </a:stretch>
      </xdr:blipFill>
      <xdr:spPr>
        <a:xfrm>
          <a:off x="85725" y="1047750"/>
          <a:ext cx="7600950" cy="4886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thena11\zd_adr_sfr\Documents%20and%20Settings\mederly\Local%20Settings\Temporary%20Internet%20Files\OLK185F\struktura%20zamestnancov%20po%20fakultach_PM%2004-12-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ederly\Local%20Settings\Temporary%20Internet%20Files\OLK185F\struktura%20zamestnancov%20po%20fakultach_PM%2004-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8">
        <row r="1">
          <cell r="B1">
            <v>1</v>
          </cell>
        </row>
        <row r="2">
          <cell r="B2">
            <v>0.3</v>
          </cell>
        </row>
        <row r="3">
          <cell r="B3">
            <v>3</v>
          </cell>
        </row>
        <row r="4">
          <cell r="B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8">
        <row r="1">
          <cell r="B1">
            <v>1</v>
          </cell>
        </row>
        <row r="2">
          <cell r="B2">
            <v>0.3</v>
          </cell>
        </row>
        <row r="3">
          <cell r="B3">
            <v>3</v>
          </cell>
        </row>
        <row r="4">
          <cell r="B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árok1">
    <tabColor indexed="42"/>
  </sheetPr>
  <dimension ref="A1:J36"/>
  <sheetViews>
    <sheetView tabSelected="1" zoomScaleSheetLayoutView="100" workbookViewId="0" topLeftCell="A1">
      <pane xSplit="1" ySplit="2" topLeftCell="B3" activePane="bottomRight" state="frozen"/>
      <selection pane="topLeft" activeCell="C12" sqref="C12"/>
      <selection pane="topRight" activeCell="C12" sqref="C12"/>
      <selection pane="bottomLeft" activeCell="C12" sqref="C12"/>
      <selection pane="bottomRight" activeCell="F14" sqref="F14"/>
    </sheetView>
  </sheetViews>
  <sheetFormatPr defaultColWidth="9.140625" defaultRowHeight="12.75"/>
  <cols>
    <col min="1" max="1" width="25.7109375" style="1" customWidth="1"/>
    <col min="2" max="10" width="15.7109375" style="1" customWidth="1"/>
    <col min="11" max="16384" width="9.140625" style="1" customWidth="1"/>
  </cols>
  <sheetData>
    <row r="1" spans="1:10" ht="75" customHeight="1">
      <c r="A1" s="568" t="s">
        <v>242</v>
      </c>
      <c r="B1" s="568"/>
      <c r="C1" s="568"/>
      <c r="D1" s="568"/>
      <c r="E1" s="568"/>
      <c r="F1" s="568"/>
      <c r="G1" s="568"/>
      <c r="H1" s="568"/>
      <c r="I1" s="568"/>
      <c r="J1" s="568"/>
    </row>
    <row r="2" spans="1:10" ht="90" customHeight="1">
      <c r="A2" s="130" t="s">
        <v>154</v>
      </c>
      <c r="B2" s="130" t="s">
        <v>191</v>
      </c>
      <c r="C2" s="130" t="s">
        <v>192</v>
      </c>
      <c r="D2" s="130" t="s">
        <v>193</v>
      </c>
      <c r="E2" s="130" t="s">
        <v>46</v>
      </c>
      <c r="F2" s="130" t="s">
        <v>47</v>
      </c>
      <c r="G2" s="130" t="s">
        <v>48</v>
      </c>
      <c r="H2" s="89" t="s">
        <v>25</v>
      </c>
      <c r="I2" s="539" t="s">
        <v>26</v>
      </c>
      <c r="J2" s="89" t="s">
        <v>27</v>
      </c>
    </row>
    <row r="3" spans="1:10" ht="15">
      <c r="A3" s="90" t="s">
        <v>60</v>
      </c>
      <c r="B3" s="134">
        <v>6358</v>
      </c>
      <c r="C3" s="134">
        <v>3697</v>
      </c>
      <c r="D3" s="135">
        <f>+B3+C3</f>
        <v>10055</v>
      </c>
      <c r="E3" s="135">
        <v>8517</v>
      </c>
      <c r="F3" s="135">
        <v>4158</v>
      </c>
      <c r="G3" s="135">
        <f>+E3+F3</f>
        <v>12675</v>
      </c>
      <c r="H3" s="136">
        <f>+E3-B3</f>
        <v>2159</v>
      </c>
      <c r="I3" s="143">
        <f aca="true" t="shared" si="0" ref="I3:I33">+F3-C3</f>
        <v>461</v>
      </c>
      <c r="J3" s="136">
        <f aca="true" t="shared" si="1" ref="J3:J33">+G3-D3</f>
        <v>2620</v>
      </c>
    </row>
    <row r="4" spans="1:10" ht="15">
      <c r="A4" s="90" t="s">
        <v>78</v>
      </c>
      <c r="B4" s="134">
        <v>2091</v>
      </c>
      <c r="C4" s="134">
        <v>535</v>
      </c>
      <c r="D4" s="135">
        <f aca="true" t="shared" si="2" ref="D4:D22">+B4+C4</f>
        <v>2626</v>
      </c>
      <c r="E4" s="135">
        <v>3105</v>
      </c>
      <c r="F4" s="135">
        <v>397</v>
      </c>
      <c r="G4" s="135">
        <f aca="true" t="shared" si="3" ref="G4:G22">+E4+F4</f>
        <v>3502</v>
      </c>
      <c r="H4" s="136">
        <f aca="true" t="shared" si="4" ref="H4:H33">+E4-B4</f>
        <v>1014</v>
      </c>
      <c r="I4" s="143">
        <f t="shared" si="0"/>
        <v>-138</v>
      </c>
      <c r="J4" s="136">
        <f t="shared" si="1"/>
        <v>876</v>
      </c>
    </row>
    <row r="5" spans="1:10" ht="15">
      <c r="A5" s="90" t="s">
        <v>80</v>
      </c>
      <c r="B5" s="134">
        <v>2242</v>
      </c>
      <c r="C5" s="134">
        <v>2050</v>
      </c>
      <c r="D5" s="135">
        <f t="shared" si="2"/>
        <v>4292</v>
      </c>
      <c r="E5" s="135">
        <v>3852</v>
      </c>
      <c r="F5" s="135">
        <v>2894</v>
      </c>
      <c r="G5" s="135">
        <f t="shared" si="3"/>
        <v>6746</v>
      </c>
      <c r="H5" s="136">
        <f t="shared" si="4"/>
        <v>1610</v>
      </c>
      <c r="I5" s="143">
        <f t="shared" si="0"/>
        <v>844</v>
      </c>
      <c r="J5" s="136">
        <f t="shared" si="1"/>
        <v>2454</v>
      </c>
    </row>
    <row r="6" spans="1:10" ht="15">
      <c r="A6" s="90" t="s">
        <v>87</v>
      </c>
      <c r="B6" s="134">
        <v>1417</v>
      </c>
      <c r="C6" s="134">
        <v>1640</v>
      </c>
      <c r="D6" s="135">
        <f t="shared" si="2"/>
        <v>3057</v>
      </c>
      <c r="E6" s="135">
        <v>2428</v>
      </c>
      <c r="F6" s="135">
        <v>2290</v>
      </c>
      <c r="G6" s="135">
        <f t="shared" si="3"/>
        <v>4718</v>
      </c>
      <c r="H6" s="136">
        <f>+E6-B6</f>
        <v>1011</v>
      </c>
      <c r="I6" s="143">
        <f t="shared" si="0"/>
        <v>650</v>
      </c>
      <c r="J6" s="136">
        <f t="shared" si="1"/>
        <v>1661</v>
      </c>
    </row>
    <row r="7" spans="1:10" ht="15">
      <c r="A7" s="90" t="s">
        <v>90</v>
      </c>
      <c r="B7" s="134">
        <v>70</v>
      </c>
      <c r="C7" s="134">
        <v>93</v>
      </c>
      <c r="D7" s="135">
        <f t="shared" si="2"/>
        <v>163</v>
      </c>
      <c r="E7" s="135">
        <v>102</v>
      </c>
      <c r="F7" s="135">
        <v>116</v>
      </c>
      <c r="G7" s="135">
        <f t="shared" si="3"/>
        <v>218</v>
      </c>
      <c r="H7" s="136">
        <f t="shared" si="4"/>
        <v>32</v>
      </c>
      <c r="I7" s="143">
        <f>+F7-C7</f>
        <v>23</v>
      </c>
      <c r="J7" s="136">
        <f t="shared" si="1"/>
        <v>55</v>
      </c>
    </row>
    <row r="8" spans="1:10" ht="15">
      <c r="A8" s="90" t="s">
        <v>91</v>
      </c>
      <c r="B8" s="134">
        <v>2948</v>
      </c>
      <c r="C8" s="134">
        <v>2647</v>
      </c>
      <c r="D8" s="135">
        <f t="shared" si="2"/>
        <v>5595</v>
      </c>
      <c r="E8" s="135">
        <v>4390</v>
      </c>
      <c r="F8" s="135">
        <v>3409</v>
      </c>
      <c r="G8" s="135">
        <f t="shared" si="3"/>
        <v>7799</v>
      </c>
      <c r="H8" s="136">
        <f t="shared" si="4"/>
        <v>1442</v>
      </c>
      <c r="I8" s="143">
        <f t="shared" si="0"/>
        <v>762</v>
      </c>
      <c r="J8" s="136">
        <f>+G8-D8</f>
        <v>2204</v>
      </c>
    </row>
    <row r="9" spans="1:10" ht="15">
      <c r="A9" s="90" t="s">
        <v>94</v>
      </c>
      <c r="B9" s="134">
        <v>3163</v>
      </c>
      <c r="C9" s="134">
        <v>5644</v>
      </c>
      <c r="D9" s="135">
        <f t="shared" si="2"/>
        <v>8807</v>
      </c>
      <c r="E9" s="135">
        <v>4612</v>
      </c>
      <c r="F9" s="135">
        <v>4827</v>
      </c>
      <c r="G9" s="135">
        <f t="shared" si="3"/>
        <v>9439</v>
      </c>
      <c r="H9" s="136">
        <f t="shared" si="4"/>
        <v>1449</v>
      </c>
      <c r="I9" s="143">
        <f t="shared" si="0"/>
        <v>-817</v>
      </c>
      <c r="J9" s="136">
        <f t="shared" si="1"/>
        <v>632</v>
      </c>
    </row>
    <row r="10" spans="1:10" ht="15">
      <c r="A10" s="90" t="s">
        <v>98</v>
      </c>
      <c r="B10" s="134">
        <v>1420</v>
      </c>
      <c r="C10" s="134">
        <v>1710</v>
      </c>
      <c r="D10" s="135">
        <f t="shared" si="2"/>
        <v>3130</v>
      </c>
      <c r="E10" s="135">
        <v>2246</v>
      </c>
      <c r="F10" s="135">
        <v>1822</v>
      </c>
      <c r="G10" s="135">
        <f t="shared" si="3"/>
        <v>4068</v>
      </c>
      <c r="H10" s="136">
        <f t="shared" si="4"/>
        <v>826</v>
      </c>
      <c r="I10" s="143">
        <f t="shared" si="0"/>
        <v>112</v>
      </c>
      <c r="J10" s="136">
        <f t="shared" si="1"/>
        <v>938</v>
      </c>
    </row>
    <row r="11" spans="1:10" ht="15">
      <c r="A11" s="90" t="s">
        <v>101</v>
      </c>
      <c r="B11" s="134">
        <v>9949</v>
      </c>
      <c r="C11" s="134">
        <v>2275</v>
      </c>
      <c r="D11" s="135">
        <f t="shared" si="2"/>
        <v>12224</v>
      </c>
      <c r="E11" s="135">
        <v>10476</v>
      </c>
      <c r="F11" s="135">
        <v>2137</v>
      </c>
      <c r="G11" s="135">
        <f t="shared" si="3"/>
        <v>12613</v>
      </c>
      <c r="H11" s="136">
        <f t="shared" si="4"/>
        <v>527</v>
      </c>
      <c r="I11" s="143">
        <f t="shared" si="0"/>
        <v>-138</v>
      </c>
      <c r="J11" s="136">
        <f t="shared" si="1"/>
        <v>389</v>
      </c>
    </row>
    <row r="12" spans="1:10" ht="15">
      <c r="A12" s="90" t="s">
        <v>106</v>
      </c>
      <c r="B12" s="134">
        <v>4953</v>
      </c>
      <c r="C12" s="134">
        <v>2013</v>
      </c>
      <c r="D12" s="135">
        <f t="shared" si="2"/>
        <v>6966</v>
      </c>
      <c r="E12" s="135">
        <v>6996</v>
      </c>
      <c r="F12" s="135">
        <v>2859</v>
      </c>
      <c r="G12" s="135">
        <f t="shared" si="3"/>
        <v>9855</v>
      </c>
      <c r="H12" s="136">
        <f t="shared" si="4"/>
        <v>2043</v>
      </c>
      <c r="I12" s="143">
        <f t="shared" si="0"/>
        <v>846</v>
      </c>
      <c r="J12" s="136">
        <f t="shared" si="1"/>
        <v>2889</v>
      </c>
    </row>
    <row r="13" spans="1:10" ht="15">
      <c r="A13" s="90" t="s">
        <v>111</v>
      </c>
      <c r="B13" s="134">
        <v>4903</v>
      </c>
      <c r="C13" s="134">
        <v>2075</v>
      </c>
      <c r="D13" s="135">
        <f t="shared" si="2"/>
        <v>6978</v>
      </c>
      <c r="E13" s="135">
        <v>5788</v>
      </c>
      <c r="F13" s="135">
        <v>2235</v>
      </c>
      <c r="G13" s="135">
        <f t="shared" si="3"/>
        <v>8023</v>
      </c>
      <c r="H13" s="136">
        <f t="shared" si="4"/>
        <v>885</v>
      </c>
      <c r="I13" s="143">
        <f t="shared" si="0"/>
        <v>160</v>
      </c>
      <c r="J13" s="136">
        <f t="shared" si="1"/>
        <v>1045</v>
      </c>
    </row>
    <row r="14" spans="1:10" ht="15">
      <c r="A14" s="90" t="s">
        <v>115</v>
      </c>
      <c r="B14" s="134">
        <v>1875</v>
      </c>
      <c r="C14" s="134">
        <v>1332</v>
      </c>
      <c r="D14" s="135">
        <f t="shared" si="2"/>
        <v>3207</v>
      </c>
      <c r="E14" s="135">
        <v>2502</v>
      </c>
      <c r="F14" s="135">
        <v>1907</v>
      </c>
      <c r="G14" s="135">
        <f t="shared" si="3"/>
        <v>4409</v>
      </c>
      <c r="H14" s="136">
        <f t="shared" si="4"/>
        <v>627</v>
      </c>
      <c r="I14" s="143">
        <f t="shared" si="0"/>
        <v>575</v>
      </c>
      <c r="J14" s="136">
        <f t="shared" si="1"/>
        <v>1202</v>
      </c>
    </row>
    <row r="15" spans="1:10" ht="15">
      <c r="A15" s="90" t="s">
        <v>120</v>
      </c>
      <c r="B15" s="134">
        <v>2696</v>
      </c>
      <c r="C15" s="134">
        <v>1685</v>
      </c>
      <c r="D15" s="135">
        <f t="shared" si="2"/>
        <v>4381</v>
      </c>
      <c r="E15" s="135">
        <v>5403</v>
      </c>
      <c r="F15" s="135">
        <v>1726</v>
      </c>
      <c r="G15" s="135">
        <f t="shared" si="3"/>
        <v>7129</v>
      </c>
      <c r="H15" s="136">
        <f t="shared" si="4"/>
        <v>2707</v>
      </c>
      <c r="I15" s="143">
        <f t="shared" si="0"/>
        <v>41</v>
      </c>
      <c r="J15" s="136">
        <f t="shared" si="1"/>
        <v>2748</v>
      </c>
    </row>
    <row r="16" spans="1:10" ht="15">
      <c r="A16" s="90" t="s">
        <v>127</v>
      </c>
      <c r="B16" s="134">
        <v>2685</v>
      </c>
      <c r="C16" s="134">
        <v>1842</v>
      </c>
      <c r="D16" s="135">
        <f t="shared" si="2"/>
        <v>4527</v>
      </c>
      <c r="E16" s="135">
        <v>3817</v>
      </c>
      <c r="F16" s="135">
        <v>2077</v>
      </c>
      <c r="G16" s="135">
        <f t="shared" si="3"/>
        <v>5894</v>
      </c>
      <c r="H16" s="136">
        <f t="shared" si="4"/>
        <v>1132</v>
      </c>
      <c r="I16" s="143">
        <f t="shared" si="0"/>
        <v>235</v>
      </c>
      <c r="J16" s="136">
        <f t="shared" si="1"/>
        <v>1367</v>
      </c>
    </row>
    <row r="17" spans="1:10" ht="15">
      <c r="A17" s="90" t="s">
        <v>133</v>
      </c>
      <c r="B17" s="134">
        <v>1268</v>
      </c>
      <c r="C17" s="134">
        <v>357</v>
      </c>
      <c r="D17" s="135">
        <f t="shared" si="2"/>
        <v>1625</v>
      </c>
      <c r="E17" s="135">
        <v>1810</v>
      </c>
      <c r="F17" s="135">
        <v>738</v>
      </c>
      <c r="G17" s="135">
        <f t="shared" si="3"/>
        <v>2548</v>
      </c>
      <c r="H17" s="136">
        <f t="shared" si="4"/>
        <v>542</v>
      </c>
      <c r="I17" s="143">
        <f t="shared" si="0"/>
        <v>381</v>
      </c>
      <c r="J17" s="136">
        <f t="shared" si="1"/>
        <v>923</v>
      </c>
    </row>
    <row r="18" spans="1:10" ht="15">
      <c r="A18" s="90" t="s">
        <v>137</v>
      </c>
      <c r="B18" s="134">
        <v>463</v>
      </c>
      <c r="C18" s="134">
        <v>32</v>
      </c>
      <c r="D18" s="135">
        <f t="shared" si="2"/>
        <v>495</v>
      </c>
      <c r="E18" s="135">
        <v>503</v>
      </c>
      <c r="F18" s="135">
        <v>17</v>
      </c>
      <c r="G18" s="135">
        <f t="shared" si="3"/>
        <v>520</v>
      </c>
      <c r="H18" s="136">
        <f t="shared" si="4"/>
        <v>40</v>
      </c>
      <c r="I18" s="143">
        <f t="shared" si="0"/>
        <v>-15</v>
      </c>
      <c r="J18" s="136">
        <f t="shared" si="1"/>
        <v>25</v>
      </c>
    </row>
    <row r="19" spans="1:10" ht="15">
      <c r="A19" s="90" t="s">
        <v>141</v>
      </c>
      <c r="B19" s="134">
        <v>361</v>
      </c>
      <c r="C19" s="134">
        <v>0</v>
      </c>
      <c r="D19" s="135">
        <f t="shared" si="2"/>
        <v>361</v>
      </c>
      <c r="E19" s="135">
        <v>370</v>
      </c>
      <c r="F19" s="135">
        <v>0</v>
      </c>
      <c r="G19" s="135">
        <f t="shared" si="3"/>
        <v>370</v>
      </c>
      <c r="H19" s="136">
        <f t="shared" si="4"/>
        <v>9</v>
      </c>
      <c r="I19" s="143">
        <f t="shared" si="0"/>
        <v>0</v>
      </c>
      <c r="J19" s="136">
        <f t="shared" si="1"/>
        <v>9</v>
      </c>
    </row>
    <row r="20" spans="1:10" ht="15">
      <c r="A20" s="90" t="s">
        <v>142</v>
      </c>
      <c r="B20" s="134">
        <v>247</v>
      </c>
      <c r="C20" s="134">
        <v>0</v>
      </c>
      <c r="D20" s="135">
        <f t="shared" si="2"/>
        <v>247</v>
      </c>
      <c r="E20" s="135">
        <v>314</v>
      </c>
      <c r="F20" s="135">
        <v>0</v>
      </c>
      <c r="G20" s="135">
        <f t="shared" si="3"/>
        <v>314</v>
      </c>
      <c r="H20" s="136">
        <f t="shared" si="4"/>
        <v>67</v>
      </c>
      <c r="I20" s="143">
        <f t="shared" si="0"/>
        <v>0</v>
      </c>
      <c r="J20" s="136">
        <f t="shared" si="1"/>
        <v>67</v>
      </c>
    </row>
    <row r="21" spans="1:10" ht="15">
      <c r="A21" s="90" t="s">
        <v>146</v>
      </c>
      <c r="B21" s="134">
        <v>2421</v>
      </c>
      <c r="C21" s="134">
        <v>4372</v>
      </c>
      <c r="D21" s="135">
        <f t="shared" si="2"/>
        <v>6793</v>
      </c>
      <c r="E21" s="135">
        <v>3343</v>
      </c>
      <c r="F21" s="135">
        <v>5464</v>
      </c>
      <c r="G21" s="135">
        <f t="shared" si="3"/>
        <v>8807</v>
      </c>
      <c r="H21" s="136">
        <f t="shared" si="4"/>
        <v>922</v>
      </c>
      <c r="I21" s="143">
        <f t="shared" si="0"/>
        <v>1092</v>
      </c>
      <c r="J21" s="136">
        <f t="shared" si="1"/>
        <v>2014</v>
      </c>
    </row>
    <row r="22" spans="1:10" ht="15">
      <c r="A22" s="90" t="s">
        <v>147</v>
      </c>
      <c r="B22" s="134">
        <v>719</v>
      </c>
      <c r="C22" s="134">
        <v>766</v>
      </c>
      <c r="D22" s="135">
        <f t="shared" si="2"/>
        <v>1485</v>
      </c>
      <c r="E22" s="135">
        <v>959</v>
      </c>
      <c r="F22" s="135">
        <v>1071</v>
      </c>
      <c r="G22" s="135">
        <f t="shared" si="3"/>
        <v>2030</v>
      </c>
      <c r="H22" s="136">
        <f t="shared" si="4"/>
        <v>240</v>
      </c>
      <c r="I22" s="143">
        <f t="shared" si="0"/>
        <v>305</v>
      </c>
      <c r="J22" s="136">
        <f t="shared" si="1"/>
        <v>545</v>
      </c>
    </row>
    <row r="23" spans="1:10" ht="15">
      <c r="A23" s="91" t="s">
        <v>188</v>
      </c>
      <c r="B23" s="137">
        <f aca="true" t="shared" si="5" ref="B23:G23">SUM(B3:B22)</f>
        <v>52249</v>
      </c>
      <c r="C23" s="137">
        <f t="shared" si="5"/>
        <v>34765</v>
      </c>
      <c r="D23" s="137">
        <f t="shared" si="5"/>
        <v>87014</v>
      </c>
      <c r="E23" s="137">
        <f t="shared" si="5"/>
        <v>71533</v>
      </c>
      <c r="F23" s="137">
        <f t="shared" si="5"/>
        <v>40144</v>
      </c>
      <c r="G23" s="137">
        <f t="shared" si="5"/>
        <v>111677</v>
      </c>
      <c r="H23" s="138">
        <f t="shared" si="4"/>
        <v>19284</v>
      </c>
      <c r="I23" s="138">
        <f t="shared" si="0"/>
        <v>5379</v>
      </c>
      <c r="J23" s="138">
        <f t="shared" si="1"/>
        <v>24663</v>
      </c>
    </row>
    <row r="24" spans="1:10" ht="15.75" customHeight="1">
      <c r="A24" s="90" t="s">
        <v>149</v>
      </c>
      <c r="B24" s="134">
        <v>673</v>
      </c>
      <c r="C24" s="134">
        <v>387</v>
      </c>
      <c r="D24" s="135">
        <f aca="true" t="shared" si="6" ref="D24:D29">+B24+C24</f>
        <v>1060</v>
      </c>
      <c r="E24" s="135">
        <v>751</v>
      </c>
      <c r="F24" s="135">
        <v>394</v>
      </c>
      <c r="G24" s="135">
        <f aca="true" t="shared" si="7" ref="G24:G33">+E24+F24</f>
        <v>1145</v>
      </c>
      <c r="H24" s="136">
        <f t="shared" si="4"/>
        <v>78</v>
      </c>
      <c r="I24" s="143">
        <f t="shared" si="0"/>
        <v>7</v>
      </c>
      <c r="J24" s="136">
        <f t="shared" si="1"/>
        <v>85</v>
      </c>
    </row>
    <row r="25" spans="1:10" ht="15.75" customHeight="1">
      <c r="A25" s="90" t="s">
        <v>150</v>
      </c>
      <c r="B25" s="134">
        <v>0</v>
      </c>
      <c r="C25" s="134">
        <v>3523</v>
      </c>
      <c r="D25" s="135">
        <f t="shared" si="6"/>
        <v>3523</v>
      </c>
      <c r="E25" s="135">
        <v>0</v>
      </c>
      <c r="F25" s="135">
        <v>5183</v>
      </c>
      <c r="G25" s="135">
        <f t="shared" si="7"/>
        <v>5183</v>
      </c>
      <c r="H25" s="136">
        <f t="shared" si="4"/>
        <v>0</v>
      </c>
      <c r="I25" s="143">
        <f t="shared" si="0"/>
        <v>1660</v>
      </c>
      <c r="J25" s="136">
        <f t="shared" si="1"/>
        <v>1660</v>
      </c>
    </row>
    <row r="26" spans="1:10" ht="16.5" customHeight="1">
      <c r="A26" s="90" t="s">
        <v>151</v>
      </c>
      <c r="B26" s="134">
        <v>142</v>
      </c>
      <c r="C26" s="134">
        <v>1601</v>
      </c>
      <c r="D26" s="135">
        <f t="shared" si="6"/>
        <v>1743</v>
      </c>
      <c r="E26" s="135">
        <v>231</v>
      </c>
      <c r="F26" s="135">
        <v>2571</v>
      </c>
      <c r="G26" s="135">
        <f t="shared" si="7"/>
        <v>2802</v>
      </c>
      <c r="H26" s="136">
        <f t="shared" si="4"/>
        <v>89</v>
      </c>
      <c r="I26" s="143">
        <f t="shared" si="0"/>
        <v>970</v>
      </c>
      <c r="J26" s="136">
        <f t="shared" si="1"/>
        <v>1059</v>
      </c>
    </row>
    <row r="27" spans="1:10" ht="16.5" customHeight="1">
      <c r="A27" s="90" t="s">
        <v>152</v>
      </c>
      <c r="B27" s="134">
        <v>456</v>
      </c>
      <c r="C27" s="134">
        <v>680</v>
      </c>
      <c r="D27" s="135">
        <f t="shared" si="6"/>
        <v>1136</v>
      </c>
      <c r="E27" s="135">
        <v>713</v>
      </c>
      <c r="F27" s="135">
        <v>1012</v>
      </c>
      <c r="G27" s="135">
        <f t="shared" si="7"/>
        <v>1725</v>
      </c>
      <c r="H27" s="136">
        <f t="shared" si="4"/>
        <v>257</v>
      </c>
      <c r="I27" s="143">
        <f t="shared" si="0"/>
        <v>332</v>
      </c>
      <c r="J27" s="136">
        <f t="shared" si="1"/>
        <v>589</v>
      </c>
    </row>
    <row r="28" spans="1:10" ht="16.5" customHeight="1">
      <c r="A28" s="90" t="s">
        <v>194</v>
      </c>
      <c r="B28" s="134">
        <v>25</v>
      </c>
      <c r="C28" s="134">
        <v>455</v>
      </c>
      <c r="D28" s="135">
        <f t="shared" si="6"/>
        <v>480</v>
      </c>
      <c r="E28" s="135">
        <v>141</v>
      </c>
      <c r="F28" s="135">
        <v>1060</v>
      </c>
      <c r="G28" s="135">
        <f t="shared" si="7"/>
        <v>1201</v>
      </c>
      <c r="H28" s="136">
        <f t="shared" si="4"/>
        <v>116</v>
      </c>
      <c r="I28" s="143">
        <f t="shared" si="0"/>
        <v>605</v>
      </c>
      <c r="J28" s="136">
        <f t="shared" si="1"/>
        <v>721</v>
      </c>
    </row>
    <row r="29" spans="1:10" ht="16.5" customHeight="1">
      <c r="A29" s="84" t="s">
        <v>195</v>
      </c>
      <c r="B29" s="134">
        <v>54</v>
      </c>
      <c r="C29" s="134">
        <v>47</v>
      </c>
      <c r="D29" s="135">
        <f t="shared" si="6"/>
        <v>101</v>
      </c>
      <c r="E29" s="135">
        <v>137</v>
      </c>
      <c r="F29" s="135">
        <v>145</v>
      </c>
      <c r="G29" s="135">
        <f t="shared" si="7"/>
        <v>282</v>
      </c>
      <c r="H29" s="136">
        <f t="shared" si="4"/>
        <v>83</v>
      </c>
      <c r="I29" s="143">
        <f t="shared" si="0"/>
        <v>98</v>
      </c>
      <c r="J29" s="136">
        <f t="shared" si="1"/>
        <v>181</v>
      </c>
    </row>
    <row r="30" spans="1:10" ht="15.75" customHeight="1">
      <c r="A30" s="127" t="s">
        <v>28</v>
      </c>
      <c r="B30" s="139">
        <v>0</v>
      </c>
      <c r="C30" s="139">
        <v>0</v>
      </c>
      <c r="D30" s="139">
        <v>0</v>
      </c>
      <c r="E30" s="139">
        <v>14</v>
      </c>
      <c r="F30" s="139">
        <v>0</v>
      </c>
      <c r="G30" s="135">
        <f t="shared" si="7"/>
        <v>14</v>
      </c>
      <c r="H30" s="136">
        <f t="shared" si="4"/>
        <v>14</v>
      </c>
      <c r="I30" s="143">
        <f t="shared" si="0"/>
        <v>0</v>
      </c>
      <c r="J30" s="136">
        <f t="shared" si="1"/>
        <v>14</v>
      </c>
    </row>
    <row r="31" spans="1:10" s="15" customFormat="1" ht="15.75" customHeight="1">
      <c r="A31" s="127" t="s">
        <v>29</v>
      </c>
      <c r="B31" s="139">
        <v>0</v>
      </c>
      <c r="C31" s="139">
        <v>0</v>
      </c>
      <c r="D31" s="139">
        <v>0</v>
      </c>
      <c r="E31" s="139">
        <v>0</v>
      </c>
      <c r="F31" s="139">
        <v>969</v>
      </c>
      <c r="G31" s="135">
        <f t="shared" si="7"/>
        <v>969</v>
      </c>
      <c r="H31" s="136">
        <f t="shared" si="4"/>
        <v>0</v>
      </c>
      <c r="I31" s="143">
        <f t="shared" si="0"/>
        <v>969</v>
      </c>
      <c r="J31" s="136">
        <f t="shared" si="1"/>
        <v>969</v>
      </c>
    </row>
    <row r="32" spans="1:10" ht="15.75" customHeight="1">
      <c r="A32" s="127" t="s">
        <v>30</v>
      </c>
      <c r="B32" s="139">
        <v>0</v>
      </c>
      <c r="C32" s="139">
        <v>0</v>
      </c>
      <c r="D32" s="139">
        <v>0</v>
      </c>
      <c r="E32" s="139">
        <v>93</v>
      </c>
      <c r="F32" s="139">
        <v>209</v>
      </c>
      <c r="G32" s="135">
        <f t="shared" si="7"/>
        <v>302</v>
      </c>
      <c r="H32" s="136">
        <f t="shared" si="4"/>
        <v>93</v>
      </c>
      <c r="I32" s="143">
        <f t="shared" si="0"/>
        <v>209</v>
      </c>
      <c r="J32" s="136">
        <f t="shared" si="1"/>
        <v>302</v>
      </c>
    </row>
    <row r="33" spans="1:10" ht="15">
      <c r="A33" s="127" t="s">
        <v>31</v>
      </c>
      <c r="B33" s="139">
        <v>0</v>
      </c>
      <c r="C33" s="139">
        <v>0</v>
      </c>
      <c r="D33" s="139">
        <v>0</v>
      </c>
      <c r="E33" s="139">
        <v>144</v>
      </c>
      <c r="F33" s="139">
        <v>397</v>
      </c>
      <c r="G33" s="135">
        <f t="shared" si="7"/>
        <v>541</v>
      </c>
      <c r="H33" s="136">
        <f t="shared" si="4"/>
        <v>144</v>
      </c>
      <c r="I33" s="143">
        <f t="shared" si="0"/>
        <v>397</v>
      </c>
      <c r="J33" s="136">
        <f t="shared" si="1"/>
        <v>541</v>
      </c>
    </row>
    <row r="34" spans="1:10" ht="15">
      <c r="A34" s="91" t="s">
        <v>189</v>
      </c>
      <c r="B34" s="137">
        <f aca="true" t="shared" si="8" ref="B34:J34">SUM(B24:B33)</f>
        <v>1350</v>
      </c>
      <c r="C34" s="137">
        <f t="shared" si="8"/>
        <v>6693</v>
      </c>
      <c r="D34" s="137">
        <f t="shared" si="8"/>
        <v>8043</v>
      </c>
      <c r="E34" s="137">
        <f t="shared" si="8"/>
        <v>2224</v>
      </c>
      <c r="F34" s="137">
        <f t="shared" si="8"/>
        <v>11940</v>
      </c>
      <c r="G34" s="137">
        <f t="shared" si="8"/>
        <v>14164</v>
      </c>
      <c r="H34" s="140">
        <f t="shared" si="8"/>
        <v>874</v>
      </c>
      <c r="I34" s="140">
        <f t="shared" si="8"/>
        <v>5247</v>
      </c>
      <c r="J34" s="140">
        <f t="shared" si="8"/>
        <v>6121</v>
      </c>
    </row>
    <row r="35" spans="1:10" ht="14.25">
      <c r="A35" s="129" t="s">
        <v>243</v>
      </c>
      <c r="B35" s="141">
        <f aca="true" t="shared" si="9" ref="B35:G35">+B23+B34</f>
        <v>53599</v>
      </c>
      <c r="C35" s="141">
        <f t="shared" si="9"/>
        <v>41458</v>
      </c>
      <c r="D35" s="141">
        <f t="shared" si="9"/>
        <v>95057</v>
      </c>
      <c r="E35" s="141">
        <f t="shared" si="9"/>
        <v>73757</v>
      </c>
      <c r="F35" s="141">
        <f t="shared" si="9"/>
        <v>52084</v>
      </c>
      <c r="G35" s="141">
        <f t="shared" si="9"/>
        <v>125841</v>
      </c>
      <c r="H35" s="142">
        <f>+E35-B35</f>
        <v>20158</v>
      </c>
      <c r="I35" s="142">
        <f>+F35-C35</f>
        <v>10626</v>
      </c>
      <c r="J35" s="142">
        <f>+G35-D35</f>
        <v>30784</v>
      </c>
    </row>
    <row r="36" spans="1:10" ht="15">
      <c r="A36" s="87" t="s">
        <v>32</v>
      </c>
      <c r="B36" s="92"/>
      <c r="C36" s="92"/>
      <c r="D36" s="92"/>
      <c r="E36" s="92"/>
      <c r="F36" s="92"/>
      <c r="G36" s="94"/>
      <c r="H36" s="93"/>
      <c r="I36" s="95"/>
      <c r="J36" s="170" t="s">
        <v>217</v>
      </c>
    </row>
  </sheetData>
  <mergeCells count="1">
    <mergeCell ref="A1:J1"/>
  </mergeCells>
  <printOptions horizontalCentered="1"/>
  <pageMargins left="0.7874015748031497" right="0.7874015748031497" top="0.984251968503937" bottom="0.984251968503937" header="0.5118110236220472" footer="0.5118110236220472"/>
  <pageSetup horizontalDpi="600" verticalDpi="600" orientation="landscape" paperSize="9" scale="75" r:id="rId1"/>
  <rowBreaks count="1" manualBreakCount="1">
    <brk id="18" max="9" man="1"/>
  </rowBreaks>
</worksheet>
</file>

<file path=xl/worksheets/sheet10.xml><?xml version="1.0" encoding="utf-8"?>
<worksheet xmlns="http://schemas.openxmlformats.org/spreadsheetml/2006/main" xmlns:r="http://schemas.openxmlformats.org/officeDocument/2006/relationships">
  <sheetPr codeName="Hárok10">
    <tabColor indexed="42"/>
  </sheetPr>
  <dimension ref="A1:Q153"/>
  <sheetViews>
    <sheetView zoomScale="70" zoomScaleNormal="70" zoomScaleSheetLayoutView="70" workbookViewId="0" topLeftCell="A1">
      <pane xSplit="1" ySplit="3" topLeftCell="B113" activePane="bottomRight" state="frozen"/>
      <selection pane="topLeft" activeCell="G25" sqref="G25"/>
      <selection pane="topRight" activeCell="G25" sqref="G25"/>
      <selection pane="bottomLeft" activeCell="G25" sqref="G25"/>
      <selection pane="bottomRight" activeCell="A3" sqref="A3"/>
    </sheetView>
  </sheetViews>
  <sheetFormatPr defaultColWidth="9.140625" defaultRowHeight="12.75"/>
  <cols>
    <col min="1" max="1" width="47.140625" style="0" customWidth="1"/>
    <col min="2" max="17" width="11.00390625" style="0" customWidth="1"/>
  </cols>
  <sheetData>
    <row r="1" spans="1:17" ht="75" customHeight="1">
      <c r="A1" s="576" t="s">
        <v>298</v>
      </c>
      <c r="B1" s="576"/>
      <c r="C1" s="576"/>
      <c r="D1" s="576"/>
      <c r="E1" s="576"/>
      <c r="F1" s="576"/>
      <c r="G1" s="576"/>
      <c r="H1" s="576"/>
      <c r="I1" s="576"/>
      <c r="J1" s="576"/>
      <c r="K1" s="576"/>
      <c r="L1" s="576"/>
      <c r="M1" s="576"/>
      <c r="N1" s="576"/>
      <c r="O1" s="576"/>
      <c r="P1" s="576"/>
      <c r="Q1" s="576"/>
    </row>
    <row r="2" spans="1:17" ht="79.5" customHeight="1">
      <c r="A2" s="44" t="s">
        <v>156</v>
      </c>
      <c r="B2" s="577" t="s">
        <v>185</v>
      </c>
      <c r="C2" s="577"/>
      <c r="D2" s="577" t="s">
        <v>51</v>
      </c>
      <c r="E2" s="577"/>
      <c r="F2" s="577" t="s">
        <v>157</v>
      </c>
      <c r="G2" s="577"/>
      <c r="H2" s="577" t="s">
        <v>50</v>
      </c>
      <c r="I2" s="577"/>
      <c r="J2" s="577" t="s">
        <v>49</v>
      </c>
      <c r="K2" s="577"/>
      <c r="L2" s="578" t="s">
        <v>158</v>
      </c>
      <c r="M2" s="578"/>
      <c r="N2" s="578" t="s">
        <v>52</v>
      </c>
      <c r="O2" s="578"/>
      <c r="P2" s="578" t="s">
        <v>53</v>
      </c>
      <c r="Q2" s="578"/>
    </row>
    <row r="3" spans="1:17" ht="15.75">
      <c r="A3" s="45" t="s">
        <v>222</v>
      </c>
      <c r="B3" s="45" t="s">
        <v>57</v>
      </c>
      <c r="C3" s="45" t="s">
        <v>56</v>
      </c>
      <c r="D3" s="45" t="s">
        <v>57</v>
      </c>
      <c r="E3" s="45" t="s">
        <v>56</v>
      </c>
      <c r="F3" s="45" t="s">
        <v>57</v>
      </c>
      <c r="G3" s="45" t="s">
        <v>56</v>
      </c>
      <c r="H3" s="45" t="s">
        <v>57</v>
      </c>
      <c r="I3" s="45" t="s">
        <v>56</v>
      </c>
      <c r="J3" s="45" t="s">
        <v>57</v>
      </c>
      <c r="K3" s="45" t="s">
        <v>56</v>
      </c>
      <c r="L3" s="46" t="s">
        <v>57</v>
      </c>
      <c r="M3" s="46" t="s">
        <v>56</v>
      </c>
      <c r="N3" s="46" t="s">
        <v>57</v>
      </c>
      <c r="O3" s="46" t="s">
        <v>56</v>
      </c>
      <c r="P3" s="46" t="s">
        <v>57</v>
      </c>
      <c r="Q3" s="46" t="s">
        <v>56</v>
      </c>
    </row>
    <row r="4" spans="1:17" ht="15.75">
      <c r="A4" s="47" t="s">
        <v>60</v>
      </c>
      <c r="B4" s="48">
        <f aca="true" t="shared" si="0" ref="B4:K4">SUBTOTAL(9,B5:B17)</f>
        <v>6624</v>
      </c>
      <c r="C4" s="48">
        <f t="shared" si="0"/>
        <v>1506</v>
      </c>
      <c r="D4" s="48">
        <f t="shared" si="0"/>
        <v>19159</v>
      </c>
      <c r="E4" s="48">
        <f t="shared" si="0"/>
        <v>3720</v>
      </c>
      <c r="F4" s="48">
        <f t="shared" si="0"/>
        <v>16259</v>
      </c>
      <c r="G4" s="48">
        <f t="shared" si="0"/>
        <v>2656</v>
      </c>
      <c r="H4" s="48">
        <f t="shared" si="0"/>
        <v>7935</v>
      </c>
      <c r="I4" s="48">
        <f t="shared" si="0"/>
        <v>1975</v>
      </c>
      <c r="J4" s="48">
        <f t="shared" si="0"/>
        <v>4994</v>
      </c>
      <c r="K4" s="48">
        <f t="shared" si="0"/>
        <v>1727</v>
      </c>
      <c r="L4" s="49">
        <f>IF(ISERROR(F4/H4),"x",F4/H4)</f>
        <v>2.049023314429742</v>
      </c>
      <c r="M4" s="49">
        <f>IF(ISERROR(G4/I4),"x",G4/I4)</f>
        <v>1.3448101265822785</v>
      </c>
      <c r="N4" s="49">
        <f aca="true" t="shared" si="1" ref="N4:O66">IF(ISERROR(J4/B4),"x",J4/B4)</f>
        <v>0.7539251207729468</v>
      </c>
      <c r="O4" s="49">
        <f t="shared" si="1"/>
        <v>1.1467463479415672</v>
      </c>
      <c r="P4" s="49">
        <f>IF(ISERROR(J4/H4),"x",J4/H4)</f>
        <v>0.6293635790800252</v>
      </c>
      <c r="Q4" s="49">
        <f>IF(ISERROR(K4/I4),"x",K4/I4)</f>
        <v>0.8744303797468355</v>
      </c>
    </row>
    <row r="5" spans="1:17" ht="15.75">
      <c r="A5" s="50" t="s">
        <v>279</v>
      </c>
      <c r="B5" s="51">
        <v>50</v>
      </c>
      <c r="C5" s="52">
        <v>80</v>
      </c>
      <c r="D5" s="51">
        <v>57</v>
      </c>
      <c r="E5" s="52">
        <v>106</v>
      </c>
      <c r="F5" s="51">
        <v>54</v>
      </c>
      <c r="G5" s="52">
        <v>88</v>
      </c>
      <c r="H5" s="51">
        <v>42</v>
      </c>
      <c r="I5" s="52">
        <v>77</v>
      </c>
      <c r="J5" s="51">
        <v>38</v>
      </c>
      <c r="K5" s="52">
        <v>73</v>
      </c>
      <c r="L5" s="53">
        <f aca="true" t="shared" si="2" ref="L5:M67">IF(ISERROR(F5/H5),"x",F5/H5)</f>
        <v>1.2857142857142858</v>
      </c>
      <c r="M5" s="54">
        <f t="shared" si="2"/>
        <v>1.1428571428571428</v>
      </c>
      <c r="N5" s="53">
        <f t="shared" si="1"/>
        <v>0.76</v>
      </c>
      <c r="O5" s="54">
        <f t="shared" si="1"/>
        <v>0.9125</v>
      </c>
      <c r="P5" s="53">
        <f aca="true" t="shared" si="3" ref="P5:Q67">IF(ISERROR(J5/H5),"x",J5/H5)</f>
        <v>0.9047619047619048</v>
      </c>
      <c r="Q5" s="54">
        <f t="shared" si="3"/>
        <v>0.948051948051948</v>
      </c>
    </row>
    <row r="6" spans="1:17" ht="15.75">
      <c r="A6" s="50" t="s">
        <v>61</v>
      </c>
      <c r="B6" s="51">
        <v>35</v>
      </c>
      <c r="C6" s="52">
        <v>0</v>
      </c>
      <c r="D6" s="51">
        <v>36</v>
      </c>
      <c r="E6" s="52">
        <v>0</v>
      </c>
      <c r="F6" s="51">
        <v>26</v>
      </c>
      <c r="G6" s="52">
        <v>0</v>
      </c>
      <c r="H6" s="51">
        <v>25</v>
      </c>
      <c r="I6" s="52">
        <v>0</v>
      </c>
      <c r="J6" s="51">
        <v>23</v>
      </c>
      <c r="K6" s="52">
        <v>0</v>
      </c>
      <c r="L6" s="53">
        <f t="shared" si="2"/>
        <v>1.04</v>
      </c>
      <c r="M6" s="54" t="str">
        <f t="shared" si="2"/>
        <v>x</v>
      </c>
      <c r="N6" s="53">
        <f t="shared" si="1"/>
        <v>0.6571428571428571</v>
      </c>
      <c r="O6" s="54" t="str">
        <f t="shared" si="1"/>
        <v>x</v>
      </c>
      <c r="P6" s="53">
        <f t="shared" si="3"/>
        <v>0.92</v>
      </c>
      <c r="Q6" s="54" t="str">
        <f t="shared" si="3"/>
        <v>x</v>
      </c>
    </row>
    <row r="7" spans="1:17" ht="15.75">
      <c r="A7" s="50" t="s">
        <v>62</v>
      </c>
      <c r="B7" s="51">
        <v>1305</v>
      </c>
      <c r="C7" s="52">
        <v>0</v>
      </c>
      <c r="D7" s="51">
        <v>1223</v>
      </c>
      <c r="E7" s="52">
        <v>0</v>
      </c>
      <c r="F7" s="51">
        <v>956</v>
      </c>
      <c r="G7" s="52">
        <v>0</v>
      </c>
      <c r="H7" s="51">
        <v>877</v>
      </c>
      <c r="I7" s="52">
        <v>0</v>
      </c>
      <c r="J7" s="51">
        <v>519</v>
      </c>
      <c r="K7" s="52">
        <v>0</v>
      </c>
      <c r="L7" s="53">
        <f>IF(ISERROR(F7/H7),"x",F7/H7)</f>
        <v>1.0900798175598632</v>
      </c>
      <c r="M7" s="54" t="str">
        <f>IF(ISERROR(G7/I7),"x",G7/I7)</f>
        <v>x</v>
      </c>
      <c r="N7" s="53">
        <f>IF(ISERROR(J7/B7),"x",J7/B7)</f>
        <v>0.39770114942528734</v>
      </c>
      <c r="O7" s="54" t="str">
        <f>IF(ISERROR(K7/C7),"x",K7/C7)</f>
        <v>x</v>
      </c>
      <c r="P7" s="53">
        <f t="shared" si="3"/>
        <v>0.5917901938426454</v>
      </c>
      <c r="Q7" s="54" t="str">
        <f t="shared" si="3"/>
        <v>x</v>
      </c>
    </row>
    <row r="8" spans="1:17" ht="15.75">
      <c r="A8" s="50" t="s">
        <v>63</v>
      </c>
      <c r="B8" s="51">
        <v>1190</v>
      </c>
      <c r="C8" s="52">
        <v>150</v>
      </c>
      <c r="D8" s="51">
        <v>3015</v>
      </c>
      <c r="E8" s="52">
        <v>385</v>
      </c>
      <c r="F8" s="51">
        <v>2605</v>
      </c>
      <c r="G8" s="52">
        <v>385</v>
      </c>
      <c r="H8" s="51">
        <v>2081</v>
      </c>
      <c r="I8" s="52">
        <v>385</v>
      </c>
      <c r="J8" s="51">
        <v>871</v>
      </c>
      <c r="K8" s="52">
        <v>302</v>
      </c>
      <c r="L8" s="53">
        <f t="shared" si="2"/>
        <v>1.2518020182604517</v>
      </c>
      <c r="M8" s="54">
        <f t="shared" si="2"/>
        <v>1</v>
      </c>
      <c r="N8" s="53">
        <f t="shared" si="1"/>
        <v>0.7319327731092437</v>
      </c>
      <c r="O8" s="54">
        <f t="shared" si="1"/>
        <v>2.013333333333333</v>
      </c>
      <c r="P8" s="53">
        <f>IF(ISERROR(J8/H8),"x",J8/H8)</f>
        <v>0.4185487746275829</v>
      </c>
      <c r="Q8" s="54">
        <f>IF(ISERROR(K8/I8),"x",K8/I8)</f>
        <v>0.7844155844155845</v>
      </c>
    </row>
    <row r="9" spans="1:17" ht="15.75">
      <c r="A9" s="50" t="s">
        <v>64</v>
      </c>
      <c r="B9" s="51">
        <v>280</v>
      </c>
      <c r="C9" s="52">
        <v>500</v>
      </c>
      <c r="D9" s="51">
        <v>1623</v>
      </c>
      <c r="E9" s="52">
        <v>945</v>
      </c>
      <c r="F9" s="51">
        <v>1366</v>
      </c>
      <c r="G9" s="52">
        <v>777</v>
      </c>
      <c r="H9" s="51">
        <v>438</v>
      </c>
      <c r="I9" s="52">
        <v>828</v>
      </c>
      <c r="J9" s="51">
        <v>305</v>
      </c>
      <c r="K9" s="52">
        <v>714</v>
      </c>
      <c r="L9" s="53">
        <f t="shared" si="2"/>
        <v>3.1187214611872145</v>
      </c>
      <c r="M9" s="54">
        <f t="shared" si="2"/>
        <v>0.9384057971014492</v>
      </c>
      <c r="N9" s="53">
        <f t="shared" si="1"/>
        <v>1.0892857142857142</v>
      </c>
      <c r="O9" s="54">
        <f t="shared" si="1"/>
        <v>1.428</v>
      </c>
      <c r="P9" s="53">
        <f t="shared" si="3"/>
        <v>0.6963470319634704</v>
      </c>
      <c r="Q9" s="54">
        <f t="shared" si="3"/>
        <v>0.8623188405797102</v>
      </c>
    </row>
    <row r="10" spans="1:17" ht="15.75">
      <c r="A10" s="50" t="s">
        <v>65</v>
      </c>
      <c r="B10" s="51">
        <v>450</v>
      </c>
      <c r="C10" s="52">
        <v>140</v>
      </c>
      <c r="D10" s="51">
        <v>2054</v>
      </c>
      <c r="E10" s="52">
        <v>35</v>
      </c>
      <c r="F10" s="51">
        <v>1720</v>
      </c>
      <c r="G10" s="52">
        <v>29</v>
      </c>
      <c r="H10" s="51">
        <v>639</v>
      </c>
      <c r="I10" s="52">
        <v>28</v>
      </c>
      <c r="J10" s="51">
        <v>417</v>
      </c>
      <c r="K10" s="52">
        <v>26</v>
      </c>
      <c r="L10" s="53">
        <f t="shared" si="2"/>
        <v>2.69170579029734</v>
      </c>
      <c r="M10" s="54">
        <f t="shared" si="2"/>
        <v>1.0357142857142858</v>
      </c>
      <c r="N10" s="53">
        <f t="shared" si="1"/>
        <v>0.9266666666666666</v>
      </c>
      <c r="O10" s="54">
        <f t="shared" si="1"/>
        <v>0.18571428571428572</v>
      </c>
      <c r="P10" s="53">
        <f t="shared" si="3"/>
        <v>0.6525821596244131</v>
      </c>
      <c r="Q10" s="54">
        <f t="shared" si="3"/>
        <v>0.9285714285714286</v>
      </c>
    </row>
    <row r="11" spans="1:17" ht="15.75">
      <c r="A11" s="50" t="s">
        <v>70</v>
      </c>
      <c r="B11" s="51">
        <v>220</v>
      </c>
      <c r="C11" s="52">
        <v>140</v>
      </c>
      <c r="D11" s="51">
        <v>1141</v>
      </c>
      <c r="E11" s="52">
        <v>90</v>
      </c>
      <c r="F11" s="51">
        <v>1065</v>
      </c>
      <c r="G11" s="52">
        <v>90</v>
      </c>
      <c r="H11" s="51">
        <v>453</v>
      </c>
      <c r="I11" s="52">
        <v>90</v>
      </c>
      <c r="J11" s="51">
        <v>244</v>
      </c>
      <c r="K11" s="52">
        <v>86</v>
      </c>
      <c r="L11" s="53">
        <f t="shared" si="2"/>
        <v>2.3509933774834435</v>
      </c>
      <c r="M11" s="54">
        <f t="shared" si="2"/>
        <v>1</v>
      </c>
      <c r="N11" s="53">
        <f t="shared" si="1"/>
        <v>1.1090909090909091</v>
      </c>
      <c r="O11" s="54">
        <f t="shared" si="1"/>
        <v>0.6142857142857143</v>
      </c>
      <c r="P11" s="53">
        <f t="shared" si="3"/>
        <v>0.5386313465783664</v>
      </c>
      <c r="Q11" s="54">
        <f t="shared" si="3"/>
        <v>0.9555555555555556</v>
      </c>
    </row>
    <row r="12" spans="1:17" ht="15.75">
      <c r="A12" s="50" t="s">
        <v>71</v>
      </c>
      <c r="B12" s="51">
        <v>320</v>
      </c>
      <c r="C12" s="52">
        <v>0</v>
      </c>
      <c r="D12" s="51">
        <v>1052</v>
      </c>
      <c r="E12" s="52">
        <v>0</v>
      </c>
      <c r="F12" s="51">
        <v>866</v>
      </c>
      <c r="G12" s="52">
        <v>0</v>
      </c>
      <c r="H12" s="51">
        <v>350</v>
      </c>
      <c r="I12" s="52">
        <v>0</v>
      </c>
      <c r="J12" s="51">
        <v>292</v>
      </c>
      <c r="K12" s="52">
        <v>0</v>
      </c>
      <c r="L12" s="53">
        <f t="shared" si="2"/>
        <v>2.474285714285714</v>
      </c>
      <c r="M12" s="54" t="str">
        <f t="shared" si="2"/>
        <v>x</v>
      </c>
      <c r="N12" s="53">
        <f t="shared" si="1"/>
        <v>0.9125</v>
      </c>
      <c r="O12" s="54" t="str">
        <f t="shared" si="1"/>
        <v>x</v>
      </c>
      <c r="P12" s="53">
        <f t="shared" si="3"/>
        <v>0.8342857142857143</v>
      </c>
      <c r="Q12" s="54" t="str">
        <f t="shared" si="3"/>
        <v>x</v>
      </c>
    </row>
    <row r="13" spans="1:17" ht="15.75">
      <c r="A13" s="50" t="s">
        <v>72</v>
      </c>
      <c r="B13" s="51">
        <v>350</v>
      </c>
      <c r="C13" s="52">
        <v>150</v>
      </c>
      <c r="D13" s="51">
        <v>2025</v>
      </c>
      <c r="E13" s="52">
        <v>1269</v>
      </c>
      <c r="F13" s="51">
        <v>1794</v>
      </c>
      <c r="G13" s="52">
        <v>601</v>
      </c>
      <c r="H13" s="51">
        <v>354</v>
      </c>
      <c r="I13" s="52">
        <v>150</v>
      </c>
      <c r="J13" s="51">
        <v>318</v>
      </c>
      <c r="K13" s="52">
        <v>140</v>
      </c>
      <c r="L13" s="53">
        <f t="shared" si="2"/>
        <v>5.067796610169491</v>
      </c>
      <c r="M13" s="54">
        <f t="shared" si="2"/>
        <v>4.006666666666667</v>
      </c>
      <c r="N13" s="53">
        <f t="shared" si="1"/>
        <v>0.9085714285714286</v>
      </c>
      <c r="O13" s="54">
        <f t="shared" si="1"/>
        <v>0.9333333333333333</v>
      </c>
      <c r="P13" s="53">
        <f t="shared" si="3"/>
        <v>0.8983050847457628</v>
      </c>
      <c r="Q13" s="54">
        <f t="shared" si="3"/>
        <v>0.9333333333333333</v>
      </c>
    </row>
    <row r="14" spans="1:17" ht="15.75">
      <c r="A14" s="50" t="s">
        <v>73</v>
      </c>
      <c r="B14" s="51">
        <v>1127</v>
      </c>
      <c r="C14" s="52">
        <v>15</v>
      </c>
      <c r="D14" s="51">
        <v>3711</v>
      </c>
      <c r="E14" s="52">
        <v>52</v>
      </c>
      <c r="F14" s="51">
        <v>3067</v>
      </c>
      <c r="G14" s="52">
        <v>36</v>
      </c>
      <c r="H14" s="51">
        <v>1198</v>
      </c>
      <c r="I14" s="52">
        <v>16</v>
      </c>
      <c r="J14" s="51">
        <v>986</v>
      </c>
      <c r="K14" s="52">
        <v>15</v>
      </c>
      <c r="L14" s="53">
        <f t="shared" si="2"/>
        <v>2.5601001669449084</v>
      </c>
      <c r="M14" s="54">
        <f t="shared" si="2"/>
        <v>2.25</v>
      </c>
      <c r="N14" s="53">
        <f t="shared" si="1"/>
        <v>0.8748890860692103</v>
      </c>
      <c r="O14" s="54">
        <f t="shared" si="1"/>
        <v>1</v>
      </c>
      <c r="P14" s="53">
        <f t="shared" si="3"/>
        <v>0.8230383973288815</v>
      </c>
      <c r="Q14" s="54">
        <f t="shared" si="3"/>
        <v>0.9375</v>
      </c>
    </row>
    <row r="15" spans="1:17" ht="15.75">
      <c r="A15" s="50" t="s">
        <v>74</v>
      </c>
      <c r="B15" s="51">
        <v>150</v>
      </c>
      <c r="C15" s="52">
        <v>55</v>
      </c>
      <c r="D15" s="51">
        <v>843</v>
      </c>
      <c r="E15" s="52">
        <v>196</v>
      </c>
      <c r="F15" s="51">
        <v>750</v>
      </c>
      <c r="G15" s="52">
        <v>143</v>
      </c>
      <c r="H15" s="51">
        <v>307</v>
      </c>
      <c r="I15" s="52">
        <v>92</v>
      </c>
      <c r="J15" s="51">
        <v>171</v>
      </c>
      <c r="K15" s="52">
        <v>86</v>
      </c>
      <c r="L15" s="53">
        <f t="shared" si="2"/>
        <v>2.44299674267101</v>
      </c>
      <c r="M15" s="54">
        <f t="shared" si="2"/>
        <v>1.5543478260869565</v>
      </c>
      <c r="N15" s="53">
        <f t="shared" si="1"/>
        <v>1.14</v>
      </c>
      <c r="O15" s="54">
        <f t="shared" si="1"/>
        <v>1.5636363636363637</v>
      </c>
      <c r="P15" s="53">
        <f t="shared" si="3"/>
        <v>0.5570032573289903</v>
      </c>
      <c r="Q15" s="54">
        <f t="shared" si="3"/>
        <v>0.9347826086956522</v>
      </c>
    </row>
    <row r="16" spans="1:17" ht="15.75">
      <c r="A16" s="50" t="s">
        <v>75</v>
      </c>
      <c r="B16" s="51">
        <v>780</v>
      </c>
      <c r="C16" s="52">
        <v>275</v>
      </c>
      <c r="D16" s="51">
        <v>1709</v>
      </c>
      <c r="E16" s="52">
        <v>641</v>
      </c>
      <c r="F16" s="51">
        <v>1383</v>
      </c>
      <c r="G16" s="52">
        <v>506</v>
      </c>
      <c r="H16" s="51">
        <v>809</v>
      </c>
      <c r="I16" s="52">
        <v>308</v>
      </c>
      <c r="J16" s="51">
        <v>506</v>
      </c>
      <c r="K16" s="52">
        <v>284</v>
      </c>
      <c r="L16" s="53">
        <f t="shared" si="2"/>
        <v>1.7095179233621756</v>
      </c>
      <c r="M16" s="54">
        <f t="shared" si="2"/>
        <v>1.6428571428571428</v>
      </c>
      <c r="N16" s="53">
        <f t="shared" si="1"/>
        <v>0.6487179487179487</v>
      </c>
      <c r="O16" s="54">
        <f t="shared" si="1"/>
        <v>1.0327272727272727</v>
      </c>
      <c r="P16" s="53">
        <f t="shared" si="3"/>
        <v>0.6254635352286774</v>
      </c>
      <c r="Q16" s="54">
        <f t="shared" si="3"/>
        <v>0.922077922077922</v>
      </c>
    </row>
    <row r="17" spans="1:17" ht="15.75">
      <c r="A17" s="50" t="s">
        <v>76</v>
      </c>
      <c r="B17" s="51">
        <v>367</v>
      </c>
      <c r="C17" s="52">
        <v>1</v>
      </c>
      <c r="D17" s="51">
        <v>670</v>
      </c>
      <c r="E17" s="52">
        <v>1</v>
      </c>
      <c r="F17" s="51">
        <v>607</v>
      </c>
      <c r="G17" s="52">
        <v>1</v>
      </c>
      <c r="H17" s="51">
        <v>362</v>
      </c>
      <c r="I17" s="52">
        <v>1</v>
      </c>
      <c r="J17" s="51">
        <v>304</v>
      </c>
      <c r="K17" s="52">
        <v>1</v>
      </c>
      <c r="L17" s="53">
        <f t="shared" si="2"/>
        <v>1.6767955801104972</v>
      </c>
      <c r="M17" s="54">
        <f t="shared" si="2"/>
        <v>1</v>
      </c>
      <c r="N17" s="53">
        <f t="shared" si="1"/>
        <v>0.8283378746594006</v>
      </c>
      <c r="O17" s="54">
        <f t="shared" si="1"/>
        <v>1</v>
      </c>
      <c r="P17" s="53">
        <f t="shared" si="3"/>
        <v>0.8397790055248618</v>
      </c>
      <c r="Q17" s="54">
        <f t="shared" si="3"/>
        <v>1</v>
      </c>
    </row>
    <row r="18" spans="1:17" ht="15.75">
      <c r="A18" s="47" t="s">
        <v>78</v>
      </c>
      <c r="B18" s="55">
        <f>SUBTOTAL(9,B19:B23)</f>
        <v>1890</v>
      </c>
      <c r="C18" s="55">
        <f aca="true" t="shared" si="4" ref="C18:K18">SUBTOTAL(9,C19:C23)</f>
        <v>40</v>
      </c>
      <c r="D18" s="55">
        <f t="shared" si="4"/>
        <v>5617</v>
      </c>
      <c r="E18" s="55">
        <f t="shared" si="4"/>
        <v>206</v>
      </c>
      <c r="F18" s="55">
        <f t="shared" si="4"/>
        <v>5241</v>
      </c>
      <c r="G18" s="55">
        <f t="shared" si="4"/>
        <v>173</v>
      </c>
      <c r="H18" s="55">
        <f t="shared" si="4"/>
        <v>2953</v>
      </c>
      <c r="I18" s="55">
        <f t="shared" si="4"/>
        <v>88</v>
      </c>
      <c r="J18" s="55">
        <f t="shared" si="4"/>
        <v>1906</v>
      </c>
      <c r="K18" s="55">
        <f t="shared" si="4"/>
        <v>79</v>
      </c>
      <c r="L18" s="49">
        <f t="shared" si="2"/>
        <v>1.7748052827632916</v>
      </c>
      <c r="M18" s="49">
        <f t="shared" si="2"/>
        <v>1.9659090909090908</v>
      </c>
      <c r="N18" s="49">
        <f t="shared" si="1"/>
        <v>1.0084656084656085</v>
      </c>
      <c r="O18" s="49">
        <f t="shared" si="1"/>
        <v>1.975</v>
      </c>
      <c r="P18" s="49">
        <f t="shared" si="3"/>
        <v>0.6454453098543854</v>
      </c>
      <c r="Q18" s="49">
        <f t="shared" si="3"/>
        <v>0.8977272727272727</v>
      </c>
    </row>
    <row r="19" spans="1:17" ht="15.75">
      <c r="A19" s="50" t="s">
        <v>269</v>
      </c>
      <c r="B19" s="51">
        <v>115</v>
      </c>
      <c r="C19" s="52">
        <v>0</v>
      </c>
      <c r="D19" s="51">
        <v>1188</v>
      </c>
      <c r="E19" s="52">
        <v>0</v>
      </c>
      <c r="F19" s="51">
        <v>1135</v>
      </c>
      <c r="G19" s="52">
        <v>0</v>
      </c>
      <c r="H19" s="51">
        <v>742</v>
      </c>
      <c r="I19" s="52">
        <v>0</v>
      </c>
      <c r="J19" s="51">
        <v>460</v>
      </c>
      <c r="K19" s="52">
        <v>0</v>
      </c>
      <c r="L19" s="53">
        <f t="shared" si="2"/>
        <v>1.5296495956873315</v>
      </c>
      <c r="M19" s="54" t="str">
        <f t="shared" si="2"/>
        <v>x</v>
      </c>
      <c r="N19" s="53">
        <f t="shared" si="1"/>
        <v>4</v>
      </c>
      <c r="O19" s="54" t="str">
        <f t="shared" si="1"/>
        <v>x</v>
      </c>
      <c r="P19" s="53">
        <f t="shared" si="3"/>
        <v>0.6199460916442049</v>
      </c>
      <c r="Q19" s="54" t="str">
        <f t="shared" si="3"/>
        <v>x</v>
      </c>
    </row>
    <row r="20" spans="1:17" ht="15.75">
      <c r="A20" s="50" t="s">
        <v>63</v>
      </c>
      <c r="B20" s="51">
        <v>635</v>
      </c>
      <c r="C20" s="52">
        <v>10</v>
      </c>
      <c r="D20" s="51">
        <v>1244</v>
      </c>
      <c r="E20" s="52">
        <v>40</v>
      </c>
      <c r="F20" s="51">
        <v>1119</v>
      </c>
      <c r="G20" s="52">
        <v>28</v>
      </c>
      <c r="H20" s="51">
        <v>1100</v>
      </c>
      <c r="I20" s="52">
        <v>23</v>
      </c>
      <c r="J20" s="51">
        <v>554</v>
      </c>
      <c r="K20" s="52">
        <v>19</v>
      </c>
      <c r="L20" s="53">
        <f t="shared" si="2"/>
        <v>1.0172727272727273</v>
      </c>
      <c r="M20" s="54">
        <f t="shared" si="2"/>
        <v>1.2173913043478262</v>
      </c>
      <c r="N20" s="53">
        <f t="shared" si="1"/>
        <v>0.8724409448818897</v>
      </c>
      <c r="O20" s="54">
        <f t="shared" si="1"/>
        <v>1.9</v>
      </c>
      <c r="P20" s="53">
        <f t="shared" si="3"/>
        <v>0.5036363636363637</v>
      </c>
      <c r="Q20" s="54">
        <f t="shared" si="3"/>
        <v>0.8260869565217391</v>
      </c>
    </row>
    <row r="21" spans="1:17" ht="15.75">
      <c r="A21" s="50" t="s">
        <v>79</v>
      </c>
      <c r="B21" s="51">
        <v>220</v>
      </c>
      <c r="C21" s="52">
        <v>30</v>
      </c>
      <c r="D21" s="51">
        <v>654</v>
      </c>
      <c r="E21" s="52">
        <v>166</v>
      </c>
      <c r="F21" s="51">
        <v>598</v>
      </c>
      <c r="G21" s="52">
        <v>145</v>
      </c>
      <c r="H21" s="51">
        <v>320</v>
      </c>
      <c r="I21" s="52">
        <v>65</v>
      </c>
      <c r="J21" s="51">
        <v>206</v>
      </c>
      <c r="K21" s="52">
        <v>60</v>
      </c>
      <c r="L21" s="53">
        <f t="shared" si="2"/>
        <v>1.86875</v>
      </c>
      <c r="M21" s="54">
        <f t="shared" si="2"/>
        <v>2.230769230769231</v>
      </c>
      <c r="N21" s="53">
        <f t="shared" si="1"/>
        <v>0.9363636363636364</v>
      </c>
      <c r="O21" s="54">
        <f t="shared" si="1"/>
        <v>2</v>
      </c>
      <c r="P21" s="53">
        <f t="shared" si="3"/>
        <v>0.64375</v>
      </c>
      <c r="Q21" s="54">
        <f t="shared" si="3"/>
        <v>0.9230769230769231</v>
      </c>
    </row>
    <row r="22" spans="1:17" ht="15.75">
      <c r="A22" s="50" t="s">
        <v>65</v>
      </c>
      <c r="B22" s="51">
        <v>620</v>
      </c>
      <c r="C22" s="52">
        <v>0</v>
      </c>
      <c r="D22" s="51">
        <v>1368</v>
      </c>
      <c r="E22" s="52">
        <v>0</v>
      </c>
      <c r="F22" s="51">
        <v>1368</v>
      </c>
      <c r="G22" s="52">
        <v>0</v>
      </c>
      <c r="H22" s="51">
        <v>430</v>
      </c>
      <c r="I22" s="52">
        <v>0</v>
      </c>
      <c r="J22" s="51">
        <v>427</v>
      </c>
      <c r="K22" s="52">
        <v>0</v>
      </c>
      <c r="L22" s="53">
        <f t="shared" si="2"/>
        <v>3.181395348837209</v>
      </c>
      <c r="M22" s="54" t="str">
        <f t="shared" si="2"/>
        <v>x</v>
      </c>
      <c r="N22" s="53">
        <f t="shared" si="1"/>
        <v>0.6887096774193548</v>
      </c>
      <c r="O22" s="54" t="str">
        <f t="shared" si="1"/>
        <v>x</v>
      </c>
      <c r="P22" s="53">
        <f t="shared" si="3"/>
        <v>0.9930232558139535</v>
      </c>
      <c r="Q22" s="54" t="str">
        <f t="shared" si="3"/>
        <v>x</v>
      </c>
    </row>
    <row r="23" spans="1:17" ht="15.75">
      <c r="A23" s="50" t="s">
        <v>72</v>
      </c>
      <c r="B23" s="51">
        <v>300</v>
      </c>
      <c r="C23" s="52">
        <v>0</v>
      </c>
      <c r="D23" s="51">
        <v>1163</v>
      </c>
      <c r="E23" s="52">
        <v>0</v>
      </c>
      <c r="F23" s="51">
        <v>1021</v>
      </c>
      <c r="G23" s="52">
        <v>0</v>
      </c>
      <c r="H23" s="51">
        <v>361</v>
      </c>
      <c r="I23" s="52">
        <v>0</v>
      </c>
      <c r="J23" s="51">
        <v>259</v>
      </c>
      <c r="K23" s="52">
        <v>0</v>
      </c>
      <c r="L23" s="53">
        <f t="shared" si="2"/>
        <v>2.8282548476454292</v>
      </c>
      <c r="M23" s="54" t="str">
        <f t="shared" si="2"/>
        <v>x</v>
      </c>
      <c r="N23" s="53">
        <f t="shared" si="1"/>
        <v>0.8633333333333333</v>
      </c>
      <c r="O23" s="54" t="str">
        <f t="shared" si="1"/>
        <v>x</v>
      </c>
      <c r="P23" s="53">
        <f t="shared" si="3"/>
        <v>0.7174515235457064</v>
      </c>
      <c r="Q23" s="54" t="str">
        <f t="shared" si="3"/>
        <v>x</v>
      </c>
    </row>
    <row r="24" spans="1:17" ht="15.75">
      <c r="A24" s="47" t="s">
        <v>80</v>
      </c>
      <c r="B24" s="55">
        <f>SUBTOTAL(9,B25:B32)</f>
        <v>2285</v>
      </c>
      <c r="C24" s="55">
        <f aca="true" t="shared" si="5" ref="C24:K24">SUBTOTAL(9,C25:C32)</f>
        <v>1335</v>
      </c>
      <c r="D24" s="55">
        <f t="shared" si="5"/>
        <v>8606</v>
      </c>
      <c r="E24" s="55">
        <f t="shared" si="5"/>
        <v>4078</v>
      </c>
      <c r="F24" s="55">
        <f t="shared" si="5"/>
        <v>8076</v>
      </c>
      <c r="G24" s="55">
        <f t="shared" si="5"/>
        <v>3960</v>
      </c>
      <c r="H24" s="55">
        <f t="shared" si="5"/>
        <v>3673</v>
      </c>
      <c r="I24" s="55">
        <f t="shared" si="5"/>
        <v>1591</v>
      </c>
      <c r="J24" s="55">
        <f t="shared" si="5"/>
        <v>2070</v>
      </c>
      <c r="K24" s="55">
        <f t="shared" si="5"/>
        <v>1201</v>
      </c>
      <c r="L24" s="49">
        <f t="shared" si="2"/>
        <v>2.198747617751157</v>
      </c>
      <c r="M24" s="49">
        <f t="shared" si="2"/>
        <v>2.4890006285355124</v>
      </c>
      <c r="N24" s="49">
        <f t="shared" si="1"/>
        <v>0.9059080962800875</v>
      </c>
      <c r="O24" s="49">
        <f t="shared" si="1"/>
        <v>0.899625468164794</v>
      </c>
      <c r="P24" s="49">
        <f t="shared" si="3"/>
        <v>0.5635720119793085</v>
      </c>
      <c r="Q24" s="49">
        <f t="shared" si="3"/>
        <v>0.7548711502199874</v>
      </c>
    </row>
    <row r="25" spans="1:17" ht="15.75">
      <c r="A25" s="50" t="s">
        <v>218</v>
      </c>
      <c r="B25" s="51">
        <v>120</v>
      </c>
      <c r="C25" s="52">
        <v>120</v>
      </c>
      <c r="D25" s="51">
        <v>171</v>
      </c>
      <c r="E25" s="52">
        <v>356</v>
      </c>
      <c r="F25" s="51">
        <v>165</v>
      </c>
      <c r="G25" s="52">
        <v>331</v>
      </c>
      <c r="H25" s="51">
        <v>144</v>
      </c>
      <c r="I25" s="52">
        <v>165</v>
      </c>
      <c r="J25" s="51">
        <v>116</v>
      </c>
      <c r="K25" s="52">
        <v>149</v>
      </c>
      <c r="L25" s="53">
        <f t="shared" si="2"/>
        <v>1.1458333333333333</v>
      </c>
      <c r="M25" s="54">
        <f t="shared" si="2"/>
        <v>2.006060606060606</v>
      </c>
      <c r="N25" s="53">
        <f t="shared" si="1"/>
        <v>0.9666666666666667</v>
      </c>
      <c r="O25" s="54">
        <f t="shared" si="1"/>
        <v>1.2416666666666667</v>
      </c>
      <c r="P25" s="53">
        <f t="shared" si="3"/>
        <v>0.8055555555555556</v>
      </c>
      <c r="Q25" s="54">
        <f t="shared" si="3"/>
        <v>0.9030303030303031</v>
      </c>
    </row>
    <row r="26" spans="1:17" ht="15.75">
      <c r="A26" s="50" t="s">
        <v>81</v>
      </c>
      <c r="B26" s="51">
        <v>53</v>
      </c>
      <c r="C26" s="52">
        <v>15</v>
      </c>
      <c r="D26" s="51">
        <v>85</v>
      </c>
      <c r="E26" s="52">
        <v>10</v>
      </c>
      <c r="F26" s="51">
        <v>74</v>
      </c>
      <c r="G26" s="52">
        <v>10</v>
      </c>
      <c r="H26" s="51">
        <v>64</v>
      </c>
      <c r="I26" s="52">
        <v>10</v>
      </c>
      <c r="J26" s="51">
        <v>52</v>
      </c>
      <c r="K26" s="52">
        <v>10</v>
      </c>
      <c r="L26" s="53">
        <f t="shared" si="2"/>
        <v>1.15625</v>
      </c>
      <c r="M26" s="54">
        <f t="shared" si="2"/>
        <v>1</v>
      </c>
      <c r="N26" s="53">
        <f t="shared" si="1"/>
        <v>0.9811320754716981</v>
      </c>
      <c r="O26" s="54">
        <f t="shared" si="1"/>
        <v>0.6666666666666666</v>
      </c>
      <c r="P26" s="53">
        <f t="shared" si="3"/>
        <v>0.8125</v>
      </c>
      <c r="Q26" s="54">
        <f t="shared" si="3"/>
        <v>1</v>
      </c>
    </row>
    <row r="27" spans="1:17" ht="15.75">
      <c r="A27" s="50" t="s">
        <v>82</v>
      </c>
      <c r="B27" s="51">
        <v>200</v>
      </c>
      <c r="C27" s="52">
        <v>260</v>
      </c>
      <c r="D27" s="51">
        <v>455</v>
      </c>
      <c r="E27" s="52">
        <v>219</v>
      </c>
      <c r="F27" s="51">
        <v>359</v>
      </c>
      <c r="G27" s="52">
        <v>211</v>
      </c>
      <c r="H27" s="51">
        <v>219</v>
      </c>
      <c r="I27" s="52">
        <v>196</v>
      </c>
      <c r="J27" s="51">
        <v>171</v>
      </c>
      <c r="K27" s="52">
        <v>171</v>
      </c>
      <c r="L27" s="53">
        <f t="shared" si="2"/>
        <v>1.639269406392694</v>
      </c>
      <c r="M27" s="54">
        <f t="shared" si="2"/>
        <v>1.0765306122448979</v>
      </c>
      <c r="N27" s="53">
        <f t="shared" si="1"/>
        <v>0.855</v>
      </c>
      <c r="O27" s="54">
        <f t="shared" si="1"/>
        <v>0.6576923076923077</v>
      </c>
      <c r="P27" s="53">
        <f t="shared" si="3"/>
        <v>0.7808219178082192</v>
      </c>
      <c r="Q27" s="54">
        <f t="shared" si="3"/>
        <v>0.8724489795918368</v>
      </c>
    </row>
    <row r="28" spans="1:17" ht="15.75">
      <c r="A28" s="50" t="s">
        <v>83</v>
      </c>
      <c r="B28" s="51">
        <v>680</v>
      </c>
      <c r="C28" s="52">
        <v>120</v>
      </c>
      <c r="D28" s="51">
        <v>2774</v>
      </c>
      <c r="E28" s="52">
        <v>248</v>
      </c>
      <c r="F28" s="51">
        <v>2484</v>
      </c>
      <c r="G28" s="52">
        <v>220</v>
      </c>
      <c r="H28" s="51">
        <v>1130</v>
      </c>
      <c r="I28" s="52">
        <v>103</v>
      </c>
      <c r="J28" s="51">
        <v>612</v>
      </c>
      <c r="K28" s="52">
        <v>101</v>
      </c>
      <c r="L28" s="53">
        <f t="shared" si="2"/>
        <v>2.1982300884955754</v>
      </c>
      <c r="M28" s="54">
        <f t="shared" si="2"/>
        <v>2.1359223300970873</v>
      </c>
      <c r="N28" s="53">
        <f t="shared" si="1"/>
        <v>0.9</v>
      </c>
      <c r="O28" s="54">
        <f t="shared" si="1"/>
        <v>0.8416666666666667</v>
      </c>
      <c r="P28" s="53">
        <f t="shared" si="3"/>
        <v>0.5415929203539823</v>
      </c>
      <c r="Q28" s="54">
        <f t="shared" si="3"/>
        <v>0.9805825242718447</v>
      </c>
    </row>
    <row r="29" spans="1:17" ht="15.75">
      <c r="A29" s="50" t="s">
        <v>84</v>
      </c>
      <c r="B29" s="51">
        <v>560</v>
      </c>
      <c r="C29" s="52">
        <v>300</v>
      </c>
      <c r="D29" s="51">
        <v>1500</v>
      </c>
      <c r="E29" s="52">
        <v>374</v>
      </c>
      <c r="F29" s="51">
        <v>1448</v>
      </c>
      <c r="G29" s="52">
        <v>370</v>
      </c>
      <c r="H29" s="51">
        <v>641</v>
      </c>
      <c r="I29" s="52">
        <v>258</v>
      </c>
      <c r="J29" s="51">
        <v>442</v>
      </c>
      <c r="K29" s="52">
        <v>215</v>
      </c>
      <c r="L29" s="53">
        <f t="shared" si="2"/>
        <v>2.2589703588143526</v>
      </c>
      <c r="M29" s="54">
        <f t="shared" si="2"/>
        <v>1.434108527131783</v>
      </c>
      <c r="N29" s="53">
        <f t="shared" si="1"/>
        <v>0.7892857142857143</v>
      </c>
      <c r="O29" s="54">
        <f t="shared" si="1"/>
        <v>0.7166666666666667</v>
      </c>
      <c r="P29" s="53">
        <f t="shared" si="3"/>
        <v>0.6895475819032761</v>
      </c>
      <c r="Q29" s="54">
        <f t="shared" si="3"/>
        <v>0.8333333333333334</v>
      </c>
    </row>
    <row r="30" spans="1:17" ht="15.75">
      <c r="A30" s="50" t="s">
        <v>75</v>
      </c>
      <c r="B30" s="51">
        <v>302</v>
      </c>
      <c r="C30" s="52">
        <v>200</v>
      </c>
      <c r="D30" s="51">
        <v>330</v>
      </c>
      <c r="E30" s="52">
        <v>464</v>
      </c>
      <c r="F30" s="51">
        <v>307</v>
      </c>
      <c r="G30" s="52">
        <v>433</v>
      </c>
      <c r="H30" s="51">
        <v>305</v>
      </c>
      <c r="I30" s="52">
        <v>261</v>
      </c>
      <c r="J30" s="51">
        <v>240</v>
      </c>
      <c r="K30" s="52">
        <v>238</v>
      </c>
      <c r="L30" s="53">
        <f t="shared" si="2"/>
        <v>1.0065573770491802</v>
      </c>
      <c r="M30" s="54">
        <f t="shared" si="2"/>
        <v>1.6590038314176245</v>
      </c>
      <c r="N30" s="53">
        <f t="shared" si="1"/>
        <v>0.7947019867549668</v>
      </c>
      <c r="O30" s="54">
        <f t="shared" si="1"/>
        <v>1.19</v>
      </c>
      <c r="P30" s="53">
        <f t="shared" si="3"/>
        <v>0.7868852459016393</v>
      </c>
      <c r="Q30" s="54">
        <f t="shared" si="3"/>
        <v>0.9118773946360154</v>
      </c>
    </row>
    <row r="31" spans="1:17" ht="15.75">
      <c r="A31" s="50" t="s">
        <v>85</v>
      </c>
      <c r="B31" s="51">
        <v>110</v>
      </c>
      <c r="C31" s="52">
        <v>60</v>
      </c>
      <c r="D31" s="51">
        <v>175</v>
      </c>
      <c r="E31" s="52">
        <v>69</v>
      </c>
      <c r="F31" s="51">
        <v>123</v>
      </c>
      <c r="G31" s="52">
        <v>52</v>
      </c>
      <c r="H31" s="51">
        <v>114</v>
      </c>
      <c r="I31" s="52">
        <v>51</v>
      </c>
      <c r="J31" s="51">
        <v>100</v>
      </c>
      <c r="K31" s="52">
        <v>49</v>
      </c>
      <c r="L31" s="53">
        <f t="shared" si="2"/>
        <v>1.0789473684210527</v>
      </c>
      <c r="M31" s="54">
        <f t="shared" si="2"/>
        <v>1.0196078431372548</v>
      </c>
      <c r="N31" s="53">
        <f t="shared" si="1"/>
        <v>0.9090909090909091</v>
      </c>
      <c r="O31" s="54">
        <f t="shared" si="1"/>
        <v>0.8166666666666667</v>
      </c>
      <c r="P31" s="53">
        <f t="shared" si="3"/>
        <v>0.8771929824561403</v>
      </c>
      <c r="Q31" s="54">
        <f t="shared" si="3"/>
        <v>0.9607843137254902</v>
      </c>
    </row>
    <row r="32" spans="1:17" ht="15.75">
      <c r="A32" s="50" t="s">
        <v>86</v>
      </c>
      <c r="B32" s="51">
        <v>260</v>
      </c>
      <c r="C32" s="52">
        <v>260</v>
      </c>
      <c r="D32" s="51">
        <v>3116</v>
      </c>
      <c r="E32" s="52">
        <v>2338</v>
      </c>
      <c r="F32" s="51">
        <v>3116</v>
      </c>
      <c r="G32" s="52">
        <v>2333</v>
      </c>
      <c r="H32" s="51">
        <v>1056</v>
      </c>
      <c r="I32" s="52">
        <v>547</v>
      </c>
      <c r="J32" s="51">
        <v>337</v>
      </c>
      <c r="K32" s="52">
        <v>268</v>
      </c>
      <c r="L32" s="53">
        <f t="shared" si="2"/>
        <v>2.9507575757575757</v>
      </c>
      <c r="M32" s="54">
        <f t="shared" si="2"/>
        <v>4.2650822669104205</v>
      </c>
      <c r="N32" s="53">
        <f t="shared" si="1"/>
        <v>1.2961538461538462</v>
      </c>
      <c r="O32" s="54">
        <f t="shared" si="1"/>
        <v>1.0307692307692307</v>
      </c>
      <c r="P32" s="53">
        <f t="shared" si="3"/>
        <v>0.3191287878787879</v>
      </c>
      <c r="Q32" s="54">
        <f t="shared" si="3"/>
        <v>0.489945155393053</v>
      </c>
    </row>
    <row r="33" spans="1:17" ht="15.75">
      <c r="A33" s="47" t="s">
        <v>87</v>
      </c>
      <c r="B33" s="55">
        <f>SUBTOTAL(9,B34:B37)</f>
        <v>1770</v>
      </c>
      <c r="C33" s="55">
        <f aca="true" t="shared" si="6" ref="C33:K33">SUBTOTAL(9,C34:C37)</f>
        <v>920</v>
      </c>
      <c r="D33" s="55">
        <f t="shared" si="6"/>
        <v>5435</v>
      </c>
      <c r="E33" s="55">
        <f t="shared" si="6"/>
        <v>2291</v>
      </c>
      <c r="F33" s="55">
        <f t="shared" si="6"/>
        <v>5056</v>
      </c>
      <c r="G33" s="55">
        <f t="shared" si="6"/>
        <v>2060</v>
      </c>
      <c r="H33" s="55">
        <f t="shared" si="6"/>
        <v>2786</v>
      </c>
      <c r="I33" s="55">
        <f t="shared" si="6"/>
        <v>1525</v>
      </c>
      <c r="J33" s="55">
        <f t="shared" si="6"/>
        <v>1497</v>
      </c>
      <c r="K33" s="55">
        <f t="shared" si="6"/>
        <v>1263</v>
      </c>
      <c r="L33" s="49">
        <f t="shared" si="2"/>
        <v>1.8147882268485283</v>
      </c>
      <c r="M33" s="49">
        <f t="shared" si="2"/>
        <v>1.3508196721311476</v>
      </c>
      <c r="N33" s="49">
        <f t="shared" si="1"/>
        <v>0.8457627118644068</v>
      </c>
      <c r="O33" s="49">
        <f t="shared" si="1"/>
        <v>1.3728260869565216</v>
      </c>
      <c r="P33" s="49">
        <f t="shared" si="3"/>
        <v>0.5373295046661881</v>
      </c>
      <c r="Q33" s="49">
        <f t="shared" si="3"/>
        <v>0.8281967213114754</v>
      </c>
    </row>
    <row r="34" spans="1:17" ht="15.75">
      <c r="A34" s="50" t="s">
        <v>269</v>
      </c>
      <c r="B34" s="51">
        <v>80</v>
      </c>
      <c r="C34" s="52">
        <v>60</v>
      </c>
      <c r="D34" s="51">
        <v>266</v>
      </c>
      <c r="E34" s="52">
        <v>174</v>
      </c>
      <c r="F34" s="51">
        <v>266</v>
      </c>
      <c r="G34" s="52">
        <v>174</v>
      </c>
      <c r="H34" s="51">
        <v>198</v>
      </c>
      <c r="I34" s="52">
        <v>161</v>
      </c>
      <c r="J34" s="51">
        <v>123</v>
      </c>
      <c r="K34" s="52">
        <v>139</v>
      </c>
      <c r="L34" s="53">
        <f>IF(ISERROR(F34/H34),"x",F34/H34)</f>
        <v>1.3434343434343434</v>
      </c>
      <c r="M34" s="54">
        <f>IF(ISERROR(G34/I34),"x",G34/I34)</f>
        <v>1.0807453416149069</v>
      </c>
      <c r="N34" s="53">
        <f>IF(ISERROR(J34/B34),"x",J34/B34)</f>
        <v>1.5375</v>
      </c>
      <c r="O34" s="54">
        <f>IF(ISERROR(K34/C34),"x",K34/C34)</f>
        <v>2.316666666666667</v>
      </c>
      <c r="P34" s="53">
        <f>IF(ISERROR(J34/H34),"x",J34/H34)</f>
        <v>0.6212121212121212</v>
      </c>
      <c r="Q34" s="54">
        <f>IF(ISERROR(K34/I34),"x",K34/I34)</f>
        <v>0.8633540372670807</v>
      </c>
    </row>
    <row r="35" spans="1:17" ht="15.75">
      <c r="A35" s="50" t="s">
        <v>88</v>
      </c>
      <c r="B35" s="51">
        <v>650</v>
      </c>
      <c r="C35" s="52">
        <v>450</v>
      </c>
      <c r="D35" s="51">
        <v>685</v>
      </c>
      <c r="E35" s="52">
        <v>337</v>
      </c>
      <c r="F35" s="51">
        <v>685</v>
      </c>
      <c r="G35" s="52">
        <v>337</v>
      </c>
      <c r="H35" s="51">
        <v>577</v>
      </c>
      <c r="I35" s="52">
        <v>323</v>
      </c>
      <c r="J35" s="51">
        <v>282</v>
      </c>
      <c r="K35" s="52">
        <v>265</v>
      </c>
      <c r="L35" s="53">
        <f t="shared" si="2"/>
        <v>1.1871750433275563</v>
      </c>
      <c r="M35" s="54">
        <f t="shared" si="2"/>
        <v>1.043343653250774</v>
      </c>
      <c r="N35" s="53">
        <f t="shared" si="1"/>
        <v>0.4338461538461538</v>
      </c>
      <c r="O35" s="54">
        <f t="shared" si="1"/>
        <v>0.5888888888888889</v>
      </c>
      <c r="P35" s="53">
        <f t="shared" si="3"/>
        <v>0.48873483535528595</v>
      </c>
      <c r="Q35" s="54">
        <f t="shared" si="3"/>
        <v>0.8204334365325078</v>
      </c>
    </row>
    <row r="36" spans="1:17" ht="15.75">
      <c r="A36" s="50" t="s">
        <v>83</v>
      </c>
      <c r="B36" s="51">
        <v>870</v>
      </c>
      <c r="C36" s="52">
        <v>180</v>
      </c>
      <c r="D36" s="51">
        <v>2722</v>
      </c>
      <c r="E36" s="52">
        <v>843</v>
      </c>
      <c r="F36" s="51">
        <v>2646</v>
      </c>
      <c r="G36" s="52">
        <v>843</v>
      </c>
      <c r="H36" s="51">
        <v>1570</v>
      </c>
      <c r="I36" s="52">
        <v>687</v>
      </c>
      <c r="J36" s="51">
        <v>764</v>
      </c>
      <c r="K36" s="52">
        <v>532</v>
      </c>
      <c r="L36" s="53">
        <f t="shared" si="2"/>
        <v>1.6853503184713376</v>
      </c>
      <c r="M36" s="54">
        <f t="shared" si="2"/>
        <v>1.2270742358078603</v>
      </c>
      <c r="N36" s="53">
        <f t="shared" si="1"/>
        <v>0.8781609195402299</v>
      </c>
      <c r="O36" s="54">
        <f t="shared" si="1"/>
        <v>2.9555555555555557</v>
      </c>
      <c r="P36" s="53">
        <f t="shared" si="3"/>
        <v>0.48662420382165605</v>
      </c>
      <c r="Q36" s="54">
        <f t="shared" si="3"/>
        <v>0.7743813682678311</v>
      </c>
    </row>
    <row r="37" spans="1:17" ht="15.75">
      <c r="A37" s="50" t="s">
        <v>89</v>
      </c>
      <c r="B37" s="51">
        <v>170</v>
      </c>
      <c r="C37" s="52">
        <v>230</v>
      </c>
      <c r="D37" s="51">
        <v>1762</v>
      </c>
      <c r="E37" s="52">
        <v>937</v>
      </c>
      <c r="F37" s="51">
        <v>1459</v>
      </c>
      <c r="G37" s="52">
        <v>706</v>
      </c>
      <c r="H37" s="51">
        <v>441</v>
      </c>
      <c r="I37" s="52">
        <v>354</v>
      </c>
      <c r="J37" s="51">
        <v>328</v>
      </c>
      <c r="K37" s="52">
        <v>327</v>
      </c>
      <c r="L37" s="53">
        <f t="shared" si="2"/>
        <v>3.308390022675737</v>
      </c>
      <c r="M37" s="54">
        <f t="shared" si="2"/>
        <v>1.9943502824858756</v>
      </c>
      <c r="N37" s="53">
        <f t="shared" si="1"/>
        <v>1.9294117647058824</v>
      </c>
      <c r="O37" s="54">
        <f t="shared" si="1"/>
        <v>1.4217391304347826</v>
      </c>
      <c r="P37" s="53">
        <f t="shared" si="3"/>
        <v>0.7437641723356009</v>
      </c>
      <c r="Q37" s="54">
        <f t="shared" si="3"/>
        <v>0.923728813559322</v>
      </c>
    </row>
    <row r="38" spans="1:17" ht="15.75">
      <c r="A38" s="47" t="s">
        <v>90</v>
      </c>
      <c r="B38" s="56">
        <v>310</v>
      </c>
      <c r="C38" s="56">
        <v>40</v>
      </c>
      <c r="D38" s="56">
        <v>639</v>
      </c>
      <c r="E38" s="56">
        <v>95</v>
      </c>
      <c r="F38" s="56">
        <v>544</v>
      </c>
      <c r="G38" s="56">
        <v>72</v>
      </c>
      <c r="H38" s="56">
        <v>394</v>
      </c>
      <c r="I38" s="56">
        <v>48</v>
      </c>
      <c r="J38" s="56">
        <v>280</v>
      </c>
      <c r="K38" s="56">
        <v>38</v>
      </c>
      <c r="L38" s="49">
        <f t="shared" si="2"/>
        <v>1.380710659898477</v>
      </c>
      <c r="M38" s="49">
        <f t="shared" si="2"/>
        <v>1.5</v>
      </c>
      <c r="N38" s="49">
        <f t="shared" si="1"/>
        <v>0.9032258064516129</v>
      </c>
      <c r="O38" s="49">
        <f t="shared" si="1"/>
        <v>0.95</v>
      </c>
      <c r="P38" s="49">
        <f t="shared" si="3"/>
        <v>0.7106598984771574</v>
      </c>
      <c r="Q38" s="49">
        <f t="shared" si="3"/>
        <v>0.7916666666666666</v>
      </c>
    </row>
    <row r="39" spans="1:17" ht="15.75">
      <c r="A39" s="47" t="s">
        <v>91</v>
      </c>
      <c r="B39" s="55">
        <f>SUBTOTAL(9,B40:B44)</f>
        <v>1520</v>
      </c>
      <c r="C39" s="55">
        <f aca="true" t="shared" si="7" ref="C39:K39">SUBTOTAL(9,C40:C44)</f>
        <v>940</v>
      </c>
      <c r="D39" s="55">
        <f t="shared" si="7"/>
        <v>7084</v>
      </c>
      <c r="E39" s="55">
        <f t="shared" si="7"/>
        <v>2904</v>
      </c>
      <c r="F39" s="55">
        <f t="shared" si="7"/>
        <v>6248</v>
      </c>
      <c r="G39" s="55">
        <f t="shared" si="7"/>
        <v>2351</v>
      </c>
      <c r="H39" s="55">
        <f t="shared" si="7"/>
        <v>3148</v>
      </c>
      <c r="I39" s="55">
        <f t="shared" si="7"/>
        <v>1891</v>
      </c>
      <c r="J39" s="55">
        <f t="shared" si="7"/>
        <v>2082</v>
      </c>
      <c r="K39" s="55">
        <f t="shared" si="7"/>
        <v>1667</v>
      </c>
      <c r="L39" s="49">
        <f t="shared" si="2"/>
        <v>1.9847522236340533</v>
      </c>
      <c r="M39" s="49">
        <f t="shared" si="2"/>
        <v>1.2432575356953992</v>
      </c>
      <c r="N39" s="49">
        <f t="shared" si="1"/>
        <v>1.3697368421052631</v>
      </c>
      <c r="O39" s="49">
        <f t="shared" si="1"/>
        <v>1.773404255319149</v>
      </c>
      <c r="P39" s="49">
        <f t="shared" si="3"/>
        <v>0.6613722998729352</v>
      </c>
      <c r="Q39" s="49">
        <f t="shared" si="3"/>
        <v>0.881544156530936</v>
      </c>
    </row>
    <row r="40" spans="1:17" ht="15.75">
      <c r="A40" s="50" t="s">
        <v>88</v>
      </c>
      <c r="B40" s="51">
        <v>400</v>
      </c>
      <c r="C40" s="52">
        <v>100</v>
      </c>
      <c r="D40" s="51">
        <v>1407</v>
      </c>
      <c r="E40" s="52">
        <v>243</v>
      </c>
      <c r="F40" s="51">
        <v>1157</v>
      </c>
      <c r="G40" s="52">
        <v>175</v>
      </c>
      <c r="H40" s="51">
        <v>892</v>
      </c>
      <c r="I40" s="52">
        <v>127</v>
      </c>
      <c r="J40" s="51">
        <v>523</v>
      </c>
      <c r="K40" s="52">
        <v>111</v>
      </c>
      <c r="L40" s="53">
        <f t="shared" si="2"/>
        <v>1.297085201793722</v>
      </c>
      <c r="M40" s="54">
        <f t="shared" si="2"/>
        <v>1.3779527559055118</v>
      </c>
      <c r="N40" s="53">
        <f t="shared" si="1"/>
        <v>1.3075</v>
      </c>
      <c r="O40" s="54">
        <f t="shared" si="1"/>
        <v>1.11</v>
      </c>
      <c r="P40" s="53">
        <f t="shared" si="3"/>
        <v>0.5863228699551569</v>
      </c>
      <c r="Q40" s="54">
        <f t="shared" si="3"/>
        <v>0.8740157480314961</v>
      </c>
    </row>
    <row r="41" spans="1:17" ht="15.75">
      <c r="A41" s="50" t="s">
        <v>83</v>
      </c>
      <c r="B41" s="51">
        <v>420</v>
      </c>
      <c r="C41" s="52">
        <v>160</v>
      </c>
      <c r="D41" s="51">
        <v>3159</v>
      </c>
      <c r="E41" s="52">
        <v>1138</v>
      </c>
      <c r="F41" s="51">
        <v>3159</v>
      </c>
      <c r="G41" s="52">
        <v>916</v>
      </c>
      <c r="H41" s="51">
        <v>995</v>
      </c>
      <c r="I41" s="52">
        <v>702</v>
      </c>
      <c r="J41" s="51">
        <v>657</v>
      </c>
      <c r="K41" s="52">
        <v>625</v>
      </c>
      <c r="L41" s="53">
        <f t="shared" si="2"/>
        <v>3.1748743718592967</v>
      </c>
      <c r="M41" s="54">
        <f t="shared" si="2"/>
        <v>1.3048433048433048</v>
      </c>
      <c r="N41" s="53">
        <f t="shared" si="1"/>
        <v>1.5642857142857143</v>
      </c>
      <c r="O41" s="54">
        <f t="shared" si="1"/>
        <v>3.90625</v>
      </c>
      <c r="P41" s="53">
        <f t="shared" si="3"/>
        <v>0.6603015075376885</v>
      </c>
      <c r="Q41" s="54">
        <f t="shared" si="3"/>
        <v>0.8903133903133903</v>
      </c>
    </row>
    <row r="42" spans="1:17" ht="15.75">
      <c r="A42" s="50" t="s">
        <v>92</v>
      </c>
      <c r="B42" s="51">
        <v>250</v>
      </c>
      <c r="C42" s="52">
        <v>400</v>
      </c>
      <c r="D42" s="51">
        <v>1099</v>
      </c>
      <c r="E42" s="52">
        <v>888</v>
      </c>
      <c r="F42" s="51">
        <v>910</v>
      </c>
      <c r="G42" s="52">
        <v>807</v>
      </c>
      <c r="H42" s="51">
        <v>403</v>
      </c>
      <c r="I42" s="52">
        <v>612</v>
      </c>
      <c r="J42" s="51">
        <v>313</v>
      </c>
      <c r="K42" s="52">
        <v>506</v>
      </c>
      <c r="L42" s="53">
        <f t="shared" si="2"/>
        <v>2.2580645161290325</v>
      </c>
      <c r="M42" s="54">
        <f t="shared" si="2"/>
        <v>1.3186274509803921</v>
      </c>
      <c r="N42" s="53">
        <f t="shared" si="1"/>
        <v>1.252</v>
      </c>
      <c r="O42" s="54">
        <f t="shared" si="1"/>
        <v>1.265</v>
      </c>
      <c r="P42" s="53">
        <f t="shared" si="3"/>
        <v>0.7766749379652605</v>
      </c>
      <c r="Q42" s="54">
        <f t="shared" si="3"/>
        <v>0.826797385620915</v>
      </c>
    </row>
    <row r="43" spans="1:17" ht="15.75">
      <c r="A43" s="50" t="s">
        <v>75</v>
      </c>
      <c r="B43" s="51">
        <v>300</v>
      </c>
      <c r="C43" s="52">
        <v>200</v>
      </c>
      <c r="D43" s="51">
        <v>973</v>
      </c>
      <c r="E43" s="52">
        <v>507</v>
      </c>
      <c r="F43" s="51">
        <v>656</v>
      </c>
      <c r="G43" s="52">
        <v>354</v>
      </c>
      <c r="H43" s="51">
        <v>512</v>
      </c>
      <c r="I43" s="52">
        <v>351</v>
      </c>
      <c r="J43" s="51">
        <v>364</v>
      </c>
      <c r="K43" s="52">
        <v>327</v>
      </c>
      <c r="L43" s="53">
        <f t="shared" si="2"/>
        <v>1.28125</v>
      </c>
      <c r="M43" s="54">
        <f t="shared" si="2"/>
        <v>1.0085470085470085</v>
      </c>
      <c r="N43" s="53">
        <f t="shared" si="1"/>
        <v>1.2133333333333334</v>
      </c>
      <c r="O43" s="54">
        <f t="shared" si="1"/>
        <v>1.635</v>
      </c>
      <c r="P43" s="53">
        <f t="shared" si="3"/>
        <v>0.7109375</v>
      </c>
      <c r="Q43" s="54">
        <f t="shared" si="3"/>
        <v>0.9316239316239316</v>
      </c>
    </row>
    <row r="44" spans="1:17" ht="15.75">
      <c r="A44" s="50" t="s">
        <v>93</v>
      </c>
      <c r="B44" s="51">
        <v>150</v>
      </c>
      <c r="C44" s="52">
        <v>80</v>
      </c>
      <c r="D44" s="51">
        <v>446</v>
      </c>
      <c r="E44" s="52">
        <v>128</v>
      </c>
      <c r="F44" s="51">
        <v>366</v>
      </c>
      <c r="G44" s="52">
        <v>99</v>
      </c>
      <c r="H44" s="51">
        <v>346</v>
      </c>
      <c r="I44" s="52">
        <v>99</v>
      </c>
      <c r="J44" s="51">
        <v>225</v>
      </c>
      <c r="K44" s="52">
        <v>98</v>
      </c>
      <c r="L44" s="53">
        <f t="shared" si="2"/>
        <v>1.0578034682080926</v>
      </c>
      <c r="M44" s="54">
        <f t="shared" si="2"/>
        <v>1</v>
      </c>
      <c r="N44" s="53">
        <f t="shared" si="1"/>
        <v>1.5</v>
      </c>
      <c r="O44" s="54">
        <f t="shared" si="1"/>
        <v>1.225</v>
      </c>
      <c r="P44" s="53">
        <f t="shared" si="3"/>
        <v>0.6502890173410405</v>
      </c>
      <c r="Q44" s="54">
        <f t="shared" si="3"/>
        <v>0.98989898989899</v>
      </c>
    </row>
    <row r="45" spans="1:17" ht="15.75">
      <c r="A45" s="47" t="s">
        <v>159</v>
      </c>
      <c r="B45" s="55">
        <f>SUBTOTAL(9,B46:B52)</f>
        <v>3602</v>
      </c>
      <c r="C45" s="55">
        <f aca="true" t="shared" si="8" ref="C45:K45">SUBTOTAL(9,C46:C52)</f>
        <v>2925</v>
      </c>
      <c r="D45" s="55">
        <f t="shared" si="8"/>
        <v>9345</v>
      </c>
      <c r="E45" s="55">
        <f t="shared" si="8"/>
        <v>3245</v>
      </c>
      <c r="F45" s="55">
        <f t="shared" si="8"/>
        <v>8080</v>
      </c>
      <c r="G45" s="55">
        <f t="shared" si="8"/>
        <v>2781</v>
      </c>
      <c r="H45" s="55">
        <f t="shared" si="8"/>
        <v>4416</v>
      </c>
      <c r="I45" s="55">
        <f t="shared" si="8"/>
        <v>2505</v>
      </c>
      <c r="J45" s="55">
        <f t="shared" si="8"/>
        <v>2490</v>
      </c>
      <c r="K45" s="55">
        <f t="shared" si="8"/>
        <v>1590</v>
      </c>
      <c r="L45" s="49">
        <f t="shared" si="2"/>
        <v>1.8297101449275361</v>
      </c>
      <c r="M45" s="49">
        <f t="shared" si="2"/>
        <v>1.110179640718563</v>
      </c>
      <c r="N45" s="49">
        <f t="shared" si="1"/>
        <v>0.691282620766241</v>
      </c>
      <c r="O45" s="49">
        <f t="shared" si="1"/>
        <v>0.5435897435897435</v>
      </c>
      <c r="P45" s="49">
        <f t="shared" si="3"/>
        <v>0.563858695652174</v>
      </c>
      <c r="Q45" s="49">
        <f t="shared" si="3"/>
        <v>0.6347305389221557</v>
      </c>
    </row>
    <row r="46" spans="1:17" ht="15.75">
      <c r="A46" s="50" t="s">
        <v>88</v>
      </c>
      <c r="B46" s="51">
        <v>1250</v>
      </c>
      <c r="C46" s="52">
        <v>950</v>
      </c>
      <c r="D46" s="51">
        <v>1581</v>
      </c>
      <c r="E46" s="52">
        <v>713</v>
      </c>
      <c r="F46" s="51">
        <v>1436</v>
      </c>
      <c r="G46" s="52">
        <v>610</v>
      </c>
      <c r="H46" s="51">
        <v>1309</v>
      </c>
      <c r="I46" s="52">
        <v>451</v>
      </c>
      <c r="J46" s="51">
        <v>540</v>
      </c>
      <c r="K46" s="52">
        <v>351</v>
      </c>
      <c r="L46" s="53">
        <f t="shared" si="2"/>
        <v>1.0970206264323912</v>
      </c>
      <c r="M46" s="54">
        <f t="shared" si="2"/>
        <v>1.352549889135255</v>
      </c>
      <c r="N46" s="53">
        <f t="shared" si="1"/>
        <v>0.432</v>
      </c>
      <c r="O46" s="54">
        <f t="shared" si="1"/>
        <v>0.36947368421052634</v>
      </c>
      <c r="P46" s="53">
        <f t="shared" si="3"/>
        <v>0.4125286478227655</v>
      </c>
      <c r="Q46" s="54">
        <f t="shared" si="3"/>
        <v>0.7782705099778271</v>
      </c>
    </row>
    <row r="47" spans="1:17" ht="15.75">
      <c r="A47" s="50" t="s">
        <v>95</v>
      </c>
      <c r="B47" s="51">
        <v>540</v>
      </c>
      <c r="C47" s="52">
        <v>800</v>
      </c>
      <c r="D47" s="51">
        <v>2540</v>
      </c>
      <c r="E47" s="52">
        <v>620</v>
      </c>
      <c r="F47" s="51">
        <v>2385</v>
      </c>
      <c r="G47" s="52">
        <v>594</v>
      </c>
      <c r="H47" s="51">
        <v>840</v>
      </c>
      <c r="I47" s="52">
        <v>774</v>
      </c>
      <c r="J47" s="51">
        <v>420</v>
      </c>
      <c r="K47" s="52">
        <v>311</v>
      </c>
      <c r="L47" s="53">
        <f t="shared" si="2"/>
        <v>2.8392857142857144</v>
      </c>
      <c r="M47" s="54">
        <f t="shared" si="2"/>
        <v>0.7674418604651163</v>
      </c>
      <c r="N47" s="53">
        <f t="shared" si="1"/>
        <v>0.7777777777777778</v>
      </c>
      <c r="O47" s="54">
        <f t="shared" si="1"/>
        <v>0.38875</v>
      </c>
      <c r="P47" s="53">
        <f t="shared" si="3"/>
        <v>0.5</v>
      </c>
      <c r="Q47" s="54">
        <f t="shared" si="3"/>
        <v>0.4018087855297158</v>
      </c>
    </row>
    <row r="48" spans="1:17" ht="15.75">
      <c r="A48" s="50" t="s">
        <v>72</v>
      </c>
      <c r="B48" s="51">
        <v>200</v>
      </c>
      <c r="C48" s="52">
        <v>0</v>
      </c>
      <c r="D48" s="51">
        <v>1391</v>
      </c>
      <c r="E48" s="52">
        <v>0</v>
      </c>
      <c r="F48" s="51">
        <v>1054</v>
      </c>
      <c r="G48" s="52">
        <v>0</v>
      </c>
      <c r="H48" s="51">
        <v>270</v>
      </c>
      <c r="I48" s="52">
        <v>0</v>
      </c>
      <c r="J48" s="51">
        <v>194</v>
      </c>
      <c r="K48" s="52">
        <v>0</v>
      </c>
      <c r="L48" s="53">
        <f t="shared" si="2"/>
        <v>3.903703703703704</v>
      </c>
      <c r="M48" s="54" t="str">
        <f t="shared" si="2"/>
        <v>x</v>
      </c>
      <c r="N48" s="53">
        <f t="shared" si="1"/>
        <v>0.97</v>
      </c>
      <c r="O48" s="54" t="str">
        <f t="shared" si="1"/>
        <v>x</v>
      </c>
      <c r="P48" s="53">
        <f t="shared" si="3"/>
        <v>0.7185185185185186</v>
      </c>
      <c r="Q48" s="54" t="str">
        <f t="shared" si="3"/>
        <v>x</v>
      </c>
    </row>
    <row r="49" spans="1:17" ht="15.75">
      <c r="A49" s="50" t="s">
        <v>270</v>
      </c>
      <c r="B49" s="51">
        <v>160</v>
      </c>
      <c r="C49" s="52">
        <v>40</v>
      </c>
      <c r="D49" s="51">
        <v>539</v>
      </c>
      <c r="E49" s="52">
        <v>65</v>
      </c>
      <c r="F49" s="51">
        <v>455</v>
      </c>
      <c r="G49" s="52">
        <v>34</v>
      </c>
      <c r="H49" s="51">
        <v>224</v>
      </c>
      <c r="I49" s="52">
        <v>34</v>
      </c>
      <c r="J49" s="51">
        <v>140</v>
      </c>
      <c r="K49" s="52">
        <v>30</v>
      </c>
      <c r="L49" s="53">
        <f t="shared" si="2"/>
        <v>2.03125</v>
      </c>
      <c r="M49" s="54">
        <f t="shared" si="2"/>
        <v>1</v>
      </c>
      <c r="N49" s="53">
        <f t="shared" si="1"/>
        <v>0.875</v>
      </c>
      <c r="O49" s="54">
        <f t="shared" si="1"/>
        <v>0.75</v>
      </c>
      <c r="P49" s="53">
        <f t="shared" si="3"/>
        <v>0.625</v>
      </c>
      <c r="Q49" s="54">
        <f t="shared" si="3"/>
        <v>0.8823529411764706</v>
      </c>
    </row>
    <row r="50" spans="1:17" ht="15.75">
      <c r="A50" s="50" t="s">
        <v>96</v>
      </c>
      <c r="B50" s="51">
        <v>300</v>
      </c>
      <c r="C50" s="52">
        <v>0</v>
      </c>
      <c r="D50" s="51">
        <v>622</v>
      </c>
      <c r="E50" s="52">
        <v>0</v>
      </c>
      <c r="F50" s="51">
        <v>617</v>
      </c>
      <c r="G50" s="52">
        <v>0</v>
      </c>
      <c r="H50" s="51">
        <v>388</v>
      </c>
      <c r="I50" s="52">
        <v>0</v>
      </c>
      <c r="J50" s="51">
        <v>244</v>
      </c>
      <c r="K50" s="52">
        <v>0</v>
      </c>
      <c r="L50" s="53">
        <f t="shared" si="2"/>
        <v>1.5902061855670102</v>
      </c>
      <c r="M50" s="54" t="str">
        <f t="shared" si="2"/>
        <v>x</v>
      </c>
      <c r="N50" s="53">
        <f t="shared" si="1"/>
        <v>0.8133333333333334</v>
      </c>
      <c r="O50" s="54" t="str">
        <f t="shared" si="1"/>
        <v>x</v>
      </c>
      <c r="P50" s="53">
        <f t="shared" si="3"/>
        <v>0.6288659793814433</v>
      </c>
      <c r="Q50" s="54" t="str">
        <f t="shared" si="3"/>
        <v>x</v>
      </c>
    </row>
    <row r="51" spans="1:17" ht="15.75">
      <c r="A51" s="50" t="s">
        <v>97</v>
      </c>
      <c r="B51" s="51">
        <v>423</v>
      </c>
      <c r="C51" s="52">
        <v>340</v>
      </c>
      <c r="D51" s="51">
        <v>1080</v>
      </c>
      <c r="E51" s="52">
        <v>742</v>
      </c>
      <c r="F51" s="51">
        <v>861</v>
      </c>
      <c r="G51" s="52">
        <v>582</v>
      </c>
      <c r="H51" s="51">
        <v>526</v>
      </c>
      <c r="I51" s="52">
        <v>394</v>
      </c>
      <c r="J51" s="51">
        <v>364</v>
      </c>
      <c r="K51" s="52">
        <v>331</v>
      </c>
      <c r="L51" s="53">
        <f t="shared" si="2"/>
        <v>1.6368821292775666</v>
      </c>
      <c r="M51" s="54">
        <f t="shared" si="2"/>
        <v>1.4771573604060915</v>
      </c>
      <c r="N51" s="53">
        <f t="shared" si="1"/>
        <v>0.8605200945626478</v>
      </c>
      <c r="O51" s="54">
        <f t="shared" si="1"/>
        <v>0.9735294117647059</v>
      </c>
      <c r="P51" s="53">
        <f t="shared" si="3"/>
        <v>0.6920152091254753</v>
      </c>
      <c r="Q51" s="54">
        <f t="shared" si="3"/>
        <v>0.8401015228426396</v>
      </c>
    </row>
    <row r="52" spans="1:17" ht="15.75">
      <c r="A52" s="50" t="s">
        <v>75</v>
      </c>
      <c r="B52" s="51">
        <v>729</v>
      </c>
      <c r="C52" s="52">
        <v>795</v>
      </c>
      <c r="D52" s="51">
        <v>1592</v>
      </c>
      <c r="E52" s="52">
        <v>1105</v>
      </c>
      <c r="F52" s="51">
        <v>1272</v>
      </c>
      <c r="G52" s="52">
        <v>961</v>
      </c>
      <c r="H52" s="51">
        <v>859</v>
      </c>
      <c r="I52" s="52">
        <v>852</v>
      </c>
      <c r="J52" s="51">
        <v>588</v>
      </c>
      <c r="K52" s="52">
        <v>567</v>
      </c>
      <c r="L52" s="53">
        <f t="shared" si="2"/>
        <v>1.480791618160652</v>
      </c>
      <c r="M52" s="54">
        <f t="shared" si="2"/>
        <v>1.1279342723004695</v>
      </c>
      <c r="N52" s="53">
        <f t="shared" si="1"/>
        <v>0.8065843621399177</v>
      </c>
      <c r="O52" s="54">
        <f t="shared" si="1"/>
        <v>0.7132075471698113</v>
      </c>
      <c r="P52" s="53">
        <f t="shared" si="3"/>
        <v>0.6845168800931315</v>
      </c>
      <c r="Q52" s="54">
        <f t="shared" si="3"/>
        <v>0.6654929577464789</v>
      </c>
    </row>
    <row r="53" spans="1:17" ht="15.75">
      <c r="A53" s="47" t="s">
        <v>160</v>
      </c>
      <c r="B53" s="55">
        <f>SUBTOTAL(9,B54:B58)</f>
        <v>1499</v>
      </c>
      <c r="C53" s="55">
        <f aca="true" t="shared" si="9" ref="C53:K53">SUBTOTAL(9,C54:C58)</f>
        <v>719</v>
      </c>
      <c r="D53" s="55">
        <f t="shared" si="9"/>
        <v>6167</v>
      </c>
      <c r="E53" s="55">
        <f t="shared" si="9"/>
        <v>1926</v>
      </c>
      <c r="F53" s="55">
        <f t="shared" si="9"/>
        <v>5395</v>
      </c>
      <c r="G53" s="55">
        <f t="shared" si="9"/>
        <v>1591</v>
      </c>
      <c r="H53" s="55">
        <f t="shared" si="9"/>
        <v>2208</v>
      </c>
      <c r="I53" s="55">
        <f t="shared" si="9"/>
        <v>766</v>
      </c>
      <c r="J53" s="55">
        <f t="shared" si="9"/>
        <v>1128</v>
      </c>
      <c r="K53" s="55">
        <f t="shared" si="9"/>
        <v>637</v>
      </c>
      <c r="L53" s="49">
        <f t="shared" si="2"/>
        <v>2.4433876811594204</v>
      </c>
      <c r="M53" s="49">
        <f t="shared" si="2"/>
        <v>2.077023498694517</v>
      </c>
      <c r="N53" s="49">
        <f t="shared" si="1"/>
        <v>0.752501667778519</v>
      </c>
      <c r="O53" s="49">
        <f t="shared" si="1"/>
        <v>0.885952712100139</v>
      </c>
      <c r="P53" s="49">
        <f t="shared" si="3"/>
        <v>0.5108695652173914</v>
      </c>
      <c r="Q53" s="49">
        <f t="shared" si="3"/>
        <v>0.8315926892950392</v>
      </c>
    </row>
    <row r="54" spans="1:17" ht="15.75">
      <c r="A54" s="50" t="s">
        <v>99</v>
      </c>
      <c r="B54" s="51">
        <v>60</v>
      </c>
      <c r="C54" s="52">
        <v>100</v>
      </c>
      <c r="D54" s="51">
        <v>60</v>
      </c>
      <c r="E54" s="52">
        <v>83</v>
      </c>
      <c r="F54" s="51">
        <v>51</v>
      </c>
      <c r="G54" s="52">
        <v>76</v>
      </c>
      <c r="H54" s="51">
        <v>51</v>
      </c>
      <c r="I54" s="52">
        <v>76</v>
      </c>
      <c r="J54" s="51">
        <v>38</v>
      </c>
      <c r="K54" s="52">
        <v>75</v>
      </c>
      <c r="L54" s="53">
        <f t="shared" si="2"/>
        <v>1</v>
      </c>
      <c r="M54" s="54">
        <f t="shared" si="2"/>
        <v>1</v>
      </c>
      <c r="N54" s="53">
        <f t="shared" si="1"/>
        <v>0.6333333333333333</v>
      </c>
      <c r="O54" s="54">
        <f t="shared" si="1"/>
        <v>0.75</v>
      </c>
      <c r="P54" s="53">
        <f t="shared" si="3"/>
        <v>0.7450980392156863</v>
      </c>
      <c r="Q54" s="54">
        <f t="shared" si="3"/>
        <v>0.9868421052631579</v>
      </c>
    </row>
    <row r="55" spans="1:17" ht="15.75">
      <c r="A55" s="50" t="s">
        <v>100</v>
      </c>
      <c r="B55" s="51">
        <v>220</v>
      </c>
      <c r="C55" s="52">
        <v>250</v>
      </c>
      <c r="D55" s="51">
        <v>502</v>
      </c>
      <c r="E55" s="52">
        <v>438</v>
      </c>
      <c r="F55" s="51">
        <v>423</v>
      </c>
      <c r="G55" s="52">
        <v>401</v>
      </c>
      <c r="H55" s="51">
        <v>241</v>
      </c>
      <c r="I55" s="52">
        <v>301</v>
      </c>
      <c r="J55" s="51">
        <v>159</v>
      </c>
      <c r="K55" s="52">
        <v>263</v>
      </c>
      <c r="L55" s="53">
        <f t="shared" si="2"/>
        <v>1.7551867219917012</v>
      </c>
      <c r="M55" s="54">
        <f t="shared" si="2"/>
        <v>1.3322259136212624</v>
      </c>
      <c r="N55" s="53">
        <f t="shared" si="1"/>
        <v>0.7227272727272728</v>
      </c>
      <c r="O55" s="54">
        <f t="shared" si="1"/>
        <v>1.052</v>
      </c>
      <c r="P55" s="53">
        <f t="shared" si="3"/>
        <v>0.6597510373443983</v>
      </c>
      <c r="Q55" s="54">
        <f t="shared" si="3"/>
        <v>0.8737541528239202</v>
      </c>
    </row>
    <row r="56" spans="1:17" ht="15.75">
      <c r="A56" s="50" t="s">
        <v>72</v>
      </c>
      <c r="B56" s="51">
        <v>300</v>
      </c>
      <c r="C56" s="52">
        <v>0</v>
      </c>
      <c r="D56" s="51">
        <v>1492</v>
      </c>
      <c r="E56" s="52">
        <v>0</v>
      </c>
      <c r="F56" s="51">
        <v>1492</v>
      </c>
      <c r="G56" s="52">
        <v>0</v>
      </c>
      <c r="H56" s="51">
        <v>533</v>
      </c>
      <c r="I56" s="52">
        <v>0</v>
      </c>
      <c r="J56" s="51">
        <v>286</v>
      </c>
      <c r="K56" s="52">
        <v>0</v>
      </c>
      <c r="L56" s="53">
        <f t="shared" si="2"/>
        <v>2.799249530956848</v>
      </c>
      <c r="M56" s="54" t="str">
        <f t="shared" si="2"/>
        <v>x</v>
      </c>
      <c r="N56" s="53">
        <f t="shared" si="1"/>
        <v>0.9533333333333334</v>
      </c>
      <c r="O56" s="54" t="str">
        <f t="shared" si="1"/>
        <v>x</v>
      </c>
      <c r="P56" s="53">
        <f t="shared" si="3"/>
        <v>0.5365853658536586</v>
      </c>
      <c r="Q56" s="54" t="str">
        <f t="shared" si="3"/>
        <v>x</v>
      </c>
    </row>
    <row r="57" spans="1:17" ht="15.75">
      <c r="A57" s="50" t="s">
        <v>83</v>
      </c>
      <c r="B57" s="51">
        <v>440</v>
      </c>
      <c r="C57" s="52">
        <v>110</v>
      </c>
      <c r="D57" s="51">
        <v>1982</v>
      </c>
      <c r="E57" s="52">
        <v>305</v>
      </c>
      <c r="F57" s="51">
        <v>1675</v>
      </c>
      <c r="G57" s="52">
        <v>305</v>
      </c>
      <c r="H57" s="51">
        <v>542</v>
      </c>
      <c r="I57" s="52">
        <v>110</v>
      </c>
      <c r="J57" s="51">
        <v>227</v>
      </c>
      <c r="K57" s="52">
        <v>75</v>
      </c>
      <c r="L57" s="53">
        <f t="shared" si="2"/>
        <v>3.0904059040590406</v>
      </c>
      <c r="M57" s="54">
        <f t="shared" si="2"/>
        <v>2.772727272727273</v>
      </c>
      <c r="N57" s="53">
        <f t="shared" si="1"/>
        <v>0.5159090909090909</v>
      </c>
      <c r="O57" s="54">
        <f t="shared" si="1"/>
        <v>0.6818181818181818</v>
      </c>
      <c r="P57" s="53">
        <f t="shared" si="3"/>
        <v>0.4188191881918819</v>
      </c>
      <c r="Q57" s="54">
        <f t="shared" si="3"/>
        <v>0.6818181818181818</v>
      </c>
    </row>
    <row r="58" spans="1:17" ht="15.75">
      <c r="A58" s="50" t="s">
        <v>75</v>
      </c>
      <c r="B58" s="51">
        <v>479</v>
      </c>
      <c r="C58" s="52">
        <v>259</v>
      </c>
      <c r="D58" s="51">
        <v>2131</v>
      </c>
      <c r="E58" s="52">
        <v>1100</v>
      </c>
      <c r="F58" s="51">
        <v>1754</v>
      </c>
      <c r="G58" s="52">
        <v>809</v>
      </c>
      <c r="H58" s="51">
        <v>841</v>
      </c>
      <c r="I58" s="52">
        <v>279</v>
      </c>
      <c r="J58" s="51">
        <v>418</v>
      </c>
      <c r="K58" s="52">
        <v>224</v>
      </c>
      <c r="L58" s="53">
        <f t="shared" si="2"/>
        <v>2.0856123662306776</v>
      </c>
      <c r="M58" s="54">
        <f t="shared" si="2"/>
        <v>2.899641577060932</v>
      </c>
      <c r="N58" s="53">
        <f t="shared" si="1"/>
        <v>0.872651356993737</v>
      </c>
      <c r="O58" s="54">
        <f t="shared" si="1"/>
        <v>0.8648648648648649</v>
      </c>
      <c r="P58" s="53">
        <f t="shared" si="3"/>
        <v>0.49702734839476814</v>
      </c>
      <c r="Q58" s="54">
        <f t="shared" si="3"/>
        <v>0.8028673835125448</v>
      </c>
    </row>
    <row r="59" spans="1:17" ht="15.75">
      <c r="A59" s="47" t="s">
        <v>101</v>
      </c>
      <c r="B59" s="55">
        <f>SUBTOTAL(9,B60:B66)</f>
        <v>6295</v>
      </c>
      <c r="C59" s="55">
        <f aca="true" t="shared" si="10" ref="C59:K59">SUBTOTAL(9,C60:C66)</f>
        <v>1060</v>
      </c>
      <c r="D59" s="55">
        <f t="shared" si="10"/>
        <v>10314</v>
      </c>
      <c r="E59" s="55">
        <f t="shared" si="10"/>
        <v>1779</v>
      </c>
      <c r="F59" s="55">
        <f t="shared" si="10"/>
        <v>9517</v>
      </c>
      <c r="G59" s="55">
        <f t="shared" si="10"/>
        <v>1685</v>
      </c>
      <c r="H59" s="55">
        <f t="shared" si="10"/>
        <v>7142</v>
      </c>
      <c r="I59" s="55">
        <f t="shared" si="10"/>
        <v>1534</v>
      </c>
      <c r="J59" s="55">
        <f t="shared" si="10"/>
        <v>4385</v>
      </c>
      <c r="K59" s="55">
        <f t="shared" si="10"/>
        <v>791</v>
      </c>
      <c r="L59" s="49">
        <f t="shared" si="2"/>
        <v>1.3325399047885746</v>
      </c>
      <c r="M59" s="49">
        <f t="shared" si="2"/>
        <v>1.0984354628422426</v>
      </c>
      <c r="N59" s="49">
        <f t="shared" si="1"/>
        <v>0.6965845909451946</v>
      </c>
      <c r="O59" s="49">
        <f t="shared" si="1"/>
        <v>0.7462264150943396</v>
      </c>
      <c r="P59" s="49">
        <f t="shared" si="3"/>
        <v>0.613973676841221</v>
      </c>
      <c r="Q59" s="49">
        <f t="shared" si="3"/>
        <v>0.515645371577575</v>
      </c>
    </row>
    <row r="60" spans="1:17" ht="15.75">
      <c r="A60" s="50" t="s">
        <v>277</v>
      </c>
      <c r="B60" s="51">
        <v>530</v>
      </c>
      <c r="C60" s="52">
        <v>0</v>
      </c>
      <c r="D60" s="51">
        <v>1177</v>
      </c>
      <c r="E60" s="52">
        <v>0</v>
      </c>
      <c r="F60" s="51">
        <v>1156</v>
      </c>
      <c r="G60" s="52">
        <v>0</v>
      </c>
      <c r="H60" s="51">
        <v>452</v>
      </c>
      <c r="I60" s="52">
        <v>0</v>
      </c>
      <c r="J60" s="51">
        <v>333</v>
      </c>
      <c r="K60" s="52">
        <v>0</v>
      </c>
      <c r="L60" s="53">
        <f t="shared" si="2"/>
        <v>2.5575221238938055</v>
      </c>
      <c r="M60" s="54" t="str">
        <f t="shared" si="2"/>
        <v>x</v>
      </c>
      <c r="N60" s="53">
        <f t="shared" si="1"/>
        <v>0.6283018867924528</v>
      </c>
      <c r="O60" s="54" t="str">
        <f t="shared" si="1"/>
        <v>x</v>
      </c>
      <c r="P60" s="53">
        <f t="shared" si="3"/>
        <v>0.7367256637168141</v>
      </c>
      <c r="Q60" s="54" t="str">
        <f t="shared" si="3"/>
        <v>x</v>
      </c>
    </row>
    <row r="61" spans="1:17" ht="15.75">
      <c r="A61" s="50" t="s">
        <v>102</v>
      </c>
      <c r="B61" s="51">
        <v>900</v>
      </c>
      <c r="C61" s="52">
        <v>300</v>
      </c>
      <c r="D61" s="51">
        <v>848</v>
      </c>
      <c r="E61" s="52">
        <v>241</v>
      </c>
      <c r="F61" s="51">
        <v>735</v>
      </c>
      <c r="G61" s="52">
        <v>236</v>
      </c>
      <c r="H61" s="51">
        <v>726</v>
      </c>
      <c r="I61" s="52">
        <v>236</v>
      </c>
      <c r="J61" s="51">
        <v>477</v>
      </c>
      <c r="K61" s="52">
        <v>132</v>
      </c>
      <c r="L61" s="53">
        <f t="shared" si="2"/>
        <v>1.012396694214876</v>
      </c>
      <c r="M61" s="54">
        <f t="shared" si="2"/>
        <v>1</v>
      </c>
      <c r="N61" s="53">
        <f t="shared" si="1"/>
        <v>0.53</v>
      </c>
      <c r="O61" s="54">
        <f t="shared" si="1"/>
        <v>0.44</v>
      </c>
      <c r="P61" s="53">
        <f t="shared" si="3"/>
        <v>0.6570247933884298</v>
      </c>
      <c r="Q61" s="54">
        <f t="shared" si="3"/>
        <v>0.559322033898305</v>
      </c>
    </row>
    <row r="62" spans="1:17" ht="15.75">
      <c r="A62" s="50" t="s">
        <v>247</v>
      </c>
      <c r="B62" s="51">
        <v>800</v>
      </c>
      <c r="C62" s="52">
        <v>400</v>
      </c>
      <c r="D62" s="51">
        <v>2565</v>
      </c>
      <c r="E62" s="52">
        <v>1355</v>
      </c>
      <c r="F62" s="51">
        <v>2522</v>
      </c>
      <c r="G62" s="52">
        <v>1276</v>
      </c>
      <c r="H62" s="51">
        <v>1906</v>
      </c>
      <c r="I62" s="52">
        <v>1154</v>
      </c>
      <c r="J62" s="51">
        <v>626</v>
      </c>
      <c r="K62" s="52">
        <v>523</v>
      </c>
      <c r="L62" s="53">
        <f t="shared" si="2"/>
        <v>1.323189926547744</v>
      </c>
      <c r="M62" s="54">
        <f t="shared" si="2"/>
        <v>1.1057192374350087</v>
      </c>
      <c r="N62" s="53">
        <f t="shared" si="1"/>
        <v>0.7825</v>
      </c>
      <c r="O62" s="54">
        <f t="shared" si="1"/>
        <v>1.3075</v>
      </c>
      <c r="P62" s="53">
        <f t="shared" si="3"/>
        <v>0.3284365162644281</v>
      </c>
      <c r="Q62" s="54">
        <f t="shared" si="3"/>
        <v>0.4532062391681109</v>
      </c>
    </row>
    <row r="63" spans="1:17" ht="15.75">
      <c r="A63" s="50" t="s">
        <v>103</v>
      </c>
      <c r="B63" s="51">
        <v>1320</v>
      </c>
      <c r="C63" s="52">
        <v>0</v>
      </c>
      <c r="D63" s="51">
        <v>1898</v>
      </c>
      <c r="E63" s="52">
        <v>0</v>
      </c>
      <c r="F63" s="51">
        <v>1707</v>
      </c>
      <c r="G63" s="52">
        <v>0</v>
      </c>
      <c r="H63" s="51">
        <v>1594</v>
      </c>
      <c r="I63" s="52">
        <v>0</v>
      </c>
      <c r="J63" s="51">
        <v>1119</v>
      </c>
      <c r="K63" s="52">
        <v>0</v>
      </c>
      <c r="L63" s="53">
        <f t="shared" si="2"/>
        <v>1.0708908406524467</v>
      </c>
      <c r="M63" s="54" t="str">
        <f t="shared" si="2"/>
        <v>x</v>
      </c>
      <c r="N63" s="53">
        <f t="shared" si="1"/>
        <v>0.8477272727272728</v>
      </c>
      <c r="O63" s="54" t="str">
        <f t="shared" si="1"/>
        <v>x</v>
      </c>
      <c r="P63" s="53">
        <f t="shared" si="3"/>
        <v>0.7020075282308658</v>
      </c>
      <c r="Q63" s="54" t="str">
        <f t="shared" si="3"/>
        <v>x</v>
      </c>
    </row>
    <row r="64" spans="1:17" ht="15.75">
      <c r="A64" s="50" t="s">
        <v>104</v>
      </c>
      <c r="B64" s="51">
        <v>1650</v>
      </c>
      <c r="C64" s="52">
        <v>0</v>
      </c>
      <c r="D64" s="51">
        <v>1798</v>
      </c>
      <c r="E64" s="52">
        <v>0</v>
      </c>
      <c r="F64" s="51">
        <v>1422</v>
      </c>
      <c r="G64" s="52">
        <v>0</v>
      </c>
      <c r="H64" s="51">
        <v>1388</v>
      </c>
      <c r="I64" s="52">
        <v>0</v>
      </c>
      <c r="J64" s="51">
        <v>1004</v>
      </c>
      <c r="K64" s="52">
        <v>0</v>
      </c>
      <c r="L64" s="53">
        <f t="shared" si="2"/>
        <v>1.0244956772334295</v>
      </c>
      <c r="M64" s="54" t="str">
        <f t="shared" si="2"/>
        <v>x</v>
      </c>
      <c r="N64" s="53">
        <f t="shared" si="1"/>
        <v>0.6084848484848485</v>
      </c>
      <c r="O64" s="54" t="str">
        <f t="shared" si="1"/>
        <v>x</v>
      </c>
      <c r="P64" s="53">
        <f t="shared" si="3"/>
        <v>0.723342939481268</v>
      </c>
      <c r="Q64" s="54" t="str">
        <f t="shared" si="3"/>
        <v>x</v>
      </c>
    </row>
    <row r="65" spans="1:17" ht="15.75">
      <c r="A65" s="50" t="s">
        <v>278</v>
      </c>
      <c r="B65" s="51">
        <v>800</v>
      </c>
      <c r="C65" s="52">
        <v>360</v>
      </c>
      <c r="D65" s="51">
        <v>990</v>
      </c>
      <c r="E65" s="52">
        <v>183</v>
      </c>
      <c r="F65" s="51">
        <v>970</v>
      </c>
      <c r="G65" s="52">
        <v>173</v>
      </c>
      <c r="H65" s="51">
        <v>618</v>
      </c>
      <c r="I65" s="52">
        <v>144</v>
      </c>
      <c r="J65" s="51">
        <v>475</v>
      </c>
      <c r="K65" s="52">
        <v>136</v>
      </c>
      <c r="L65" s="53">
        <f t="shared" si="2"/>
        <v>1.5695792880258899</v>
      </c>
      <c r="M65" s="54">
        <f t="shared" si="2"/>
        <v>1.2013888888888888</v>
      </c>
      <c r="N65" s="53">
        <f t="shared" si="1"/>
        <v>0.59375</v>
      </c>
      <c r="O65" s="54">
        <f t="shared" si="1"/>
        <v>0.37777777777777777</v>
      </c>
      <c r="P65" s="53">
        <f t="shared" si="3"/>
        <v>0.7686084142394822</v>
      </c>
      <c r="Q65" s="54">
        <f t="shared" si="3"/>
        <v>0.9444444444444444</v>
      </c>
    </row>
    <row r="66" spans="1:17" ht="15.75">
      <c r="A66" s="50" t="s">
        <v>105</v>
      </c>
      <c r="B66" s="51">
        <v>295</v>
      </c>
      <c r="C66" s="52">
        <v>0</v>
      </c>
      <c r="D66" s="51">
        <v>1038</v>
      </c>
      <c r="E66" s="52">
        <v>0</v>
      </c>
      <c r="F66" s="51">
        <v>1005</v>
      </c>
      <c r="G66" s="52">
        <v>0</v>
      </c>
      <c r="H66" s="51">
        <v>458</v>
      </c>
      <c r="I66" s="52">
        <v>0</v>
      </c>
      <c r="J66" s="51">
        <v>351</v>
      </c>
      <c r="K66" s="52">
        <v>0</v>
      </c>
      <c r="L66" s="53">
        <f t="shared" si="2"/>
        <v>2.1943231441048034</v>
      </c>
      <c r="M66" s="54" t="str">
        <f t="shared" si="2"/>
        <v>x</v>
      </c>
      <c r="N66" s="53">
        <f t="shared" si="1"/>
        <v>1.1898305084745762</v>
      </c>
      <c r="O66" s="54" t="str">
        <f t="shared" si="1"/>
        <v>x</v>
      </c>
      <c r="P66" s="53">
        <f t="shared" si="3"/>
        <v>0.7663755458515283</v>
      </c>
      <c r="Q66" s="54" t="str">
        <f t="shared" si="3"/>
        <v>x</v>
      </c>
    </row>
    <row r="67" spans="1:17" ht="15.75">
      <c r="A67" s="47" t="s">
        <v>106</v>
      </c>
      <c r="B67" s="55">
        <f>SUBTOTAL(9,B68:B77)</f>
        <v>5483</v>
      </c>
      <c r="C67" s="55">
        <f aca="true" t="shared" si="11" ref="C67:K67">SUBTOTAL(9,C68:C77)</f>
        <v>1406</v>
      </c>
      <c r="D67" s="55">
        <f t="shared" si="11"/>
        <v>7878</v>
      </c>
      <c r="E67" s="55">
        <f t="shared" si="11"/>
        <v>2041</v>
      </c>
      <c r="F67" s="55">
        <f t="shared" si="11"/>
        <v>7690</v>
      </c>
      <c r="G67" s="55">
        <f t="shared" si="11"/>
        <v>2005</v>
      </c>
      <c r="H67" s="55">
        <f t="shared" si="11"/>
        <v>5900</v>
      </c>
      <c r="I67" s="55">
        <f t="shared" si="11"/>
        <v>1653</v>
      </c>
      <c r="J67" s="55">
        <f t="shared" si="11"/>
        <v>4088</v>
      </c>
      <c r="K67" s="55">
        <f t="shared" si="11"/>
        <v>1411</v>
      </c>
      <c r="L67" s="49">
        <f t="shared" si="2"/>
        <v>1.3033898305084746</v>
      </c>
      <c r="M67" s="49">
        <f t="shared" si="2"/>
        <v>1.2129461584996974</v>
      </c>
      <c r="N67" s="49">
        <f aca="true" t="shared" si="12" ref="N67:O129">IF(ISERROR(J67/B67),"x",J67/B67)</f>
        <v>0.7455772387379171</v>
      </c>
      <c r="O67" s="49">
        <f t="shared" si="12"/>
        <v>1.003556187766714</v>
      </c>
      <c r="P67" s="49">
        <f t="shared" si="3"/>
        <v>0.6928813559322033</v>
      </c>
      <c r="Q67" s="49">
        <f t="shared" si="3"/>
        <v>0.853599516031458</v>
      </c>
    </row>
    <row r="68" spans="1:17" ht="15.75">
      <c r="A68" s="50" t="s">
        <v>269</v>
      </c>
      <c r="B68" s="51">
        <v>60</v>
      </c>
      <c r="C68" s="52">
        <v>0</v>
      </c>
      <c r="D68" s="51">
        <v>110</v>
      </c>
      <c r="E68" s="52">
        <v>1</v>
      </c>
      <c r="F68" s="51">
        <v>102</v>
      </c>
      <c r="G68" s="52">
        <v>1</v>
      </c>
      <c r="H68" s="51">
        <v>60</v>
      </c>
      <c r="I68" s="52">
        <v>1</v>
      </c>
      <c r="J68" s="51">
        <v>42</v>
      </c>
      <c r="K68" s="52">
        <v>1</v>
      </c>
      <c r="L68" s="53">
        <f aca="true" t="shared" si="13" ref="L68:M130">IF(ISERROR(F68/H68),"x",F68/H68)</f>
        <v>1.7</v>
      </c>
      <c r="M68" s="54">
        <f t="shared" si="13"/>
        <v>1</v>
      </c>
      <c r="N68" s="53">
        <f t="shared" si="12"/>
        <v>0.7</v>
      </c>
      <c r="O68" s="54" t="str">
        <f t="shared" si="12"/>
        <v>x</v>
      </c>
      <c r="P68" s="53">
        <f aca="true" t="shared" si="14" ref="P68:Q130">IF(ISERROR(J68/H68),"x",J68/H68)</f>
        <v>0.7</v>
      </c>
      <c r="Q68" s="54">
        <f t="shared" si="14"/>
        <v>1</v>
      </c>
    </row>
    <row r="69" spans="1:17" ht="15.75">
      <c r="A69" s="50" t="s">
        <v>107</v>
      </c>
      <c r="B69" s="51">
        <v>320</v>
      </c>
      <c r="C69" s="52">
        <v>141</v>
      </c>
      <c r="D69" s="51">
        <v>528</v>
      </c>
      <c r="E69" s="52">
        <v>147</v>
      </c>
      <c r="F69" s="51">
        <v>528</v>
      </c>
      <c r="G69" s="52">
        <v>147</v>
      </c>
      <c r="H69" s="51">
        <v>502</v>
      </c>
      <c r="I69" s="52">
        <v>150</v>
      </c>
      <c r="J69" s="51">
        <v>336</v>
      </c>
      <c r="K69" s="52">
        <v>116</v>
      </c>
      <c r="L69" s="53">
        <f t="shared" si="13"/>
        <v>1.051792828685259</v>
      </c>
      <c r="M69" s="54">
        <f t="shared" si="13"/>
        <v>0.98</v>
      </c>
      <c r="N69" s="53">
        <f t="shared" si="12"/>
        <v>1.05</v>
      </c>
      <c r="O69" s="54">
        <f t="shared" si="12"/>
        <v>0.8226950354609929</v>
      </c>
      <c r="P69" s="53">
        <f t="shared" si="14"/>
        <v>0.6693227091633466</v>
      </c>
      <c r="Q69" s="54">
        <f t="shared" si="14"/>
        <v>0.7733333333333333</v>
      </c>
    </row>
    <row r="70" spans="1:17" ht="15.75">
      <c r="A70" s="50" t="s">
        <v>280</v>
      </c>
      <c r="B70" s="51">
        <v>1000</v>
      </c>
      <c r="C70" s="52">
        <v>360</v>
      </c>
      <c r="D70" s="51">
        <v>1497</v>
      </c>
      <c r="E70" s="52">
        <v>621</v>
      </c>
      <c r="F70" s="51">
        <v>1497</v>
      </c>
      <c r="G70" s="52">
        <v>621</v>
      </c>
      <c r="H70" s="51">
        <v>843</v>
      </c>
      <c r="I70" s="52">
        <v>363</v>
      </c>
      <c r="J70" s="51">
        <v>810</v>
      </c>
      <c r="K70" s="52">
        <v>358</v>
      </c>
      <c r="L70" s="53">
        <f t="shared" si="13"/>
        <v>1.7758007117437722</v>
      </c>
      <c r="M70" s="54">
        <f t="shared" si="13"/>
        <v>1.7107438016528926</v>
      </c>
      <c r="N70" s="53">
        <f t="shared" si="12"/>
        <v>0.81</v>
      </c>
      <c r="O70" s="54">
        <f t="shared" si="12"/>
        <v>0.9944444444444445</v>
      </c>
      <c r="P70" s="53">
        <f t="shared" si="14"/>
        <v>0.9608540925266904</v>
      </c>
      <c r="Q70" s="54">
        <f t="shared" si="14"/>
        <v>0.9862258953168044</v>
      </c>
    </row>
    <row r="71" spans="1:17" ht="15.75">
      <c r="A71" s="50" t="s">
        <v>108</v>
      </c>
      <c r="B71" s="51">
        <v>370</v>
      </c>
      <c r="C71" s="52">
        <v>110</v>
      </c>
      <c r="D71" s="51">
        <v>430</v>
      </c>
      <c r="E71" s="52">
        <v>241</v>
      </c>
      <c r="F71" s="51">
        <v>428</v>
      </c>
      <c r="G71" s="52">
        <v>240</v>
      </c>
      <c r="H71" s="51">
        <v>397</v>
      </c>
      <c r="I71" s="52">
        <v>203</v>
      </c>
      <c r="J71" s="51">
        <v>242</v>
      </c>
      <c r="K71" s="52">
        <v>155</v>
      </c>
      <c r="L71" s="53">
        <f t="shared" si="13"/>
        <v>1.0780856423173804</v>
      </c>
      <c r="M71" s="54">
        <f t="shared" si="13"/>
        <v>1.1822660098522169</v>
      </c>
      <c r="N71" s="53">
        <f t="shared" si="12"/>
        <v>0.654054054054054</v>
      </c>
      <c r="O71" s="54">
        <f t="shared" si="12"/>
        <v>1.4090909090909092</v>
      </c>
      <c r="P71" s="53">
        <f t="shared" si="14"/>
        <v>0.6095717884130982</v>
      </c>
      <c r="Q71" s="54">
        <f t="shared" si="14"/>
        <v>0.7635467980295566</v>
      </c>
    </row>
    <row r="72" spans="1:17" ht="15.75">
      <c r="A72" s="50" t="s">
        <v>102</v>
      </c>
      <c r="B72" s="51">
        <v>1165</v>
      </c>
      <c r="C72" s="52">
        <v>445</v>
      </c>
      <c r="D72" s="51">
        <v>1256</v>
      </c>
      <c r="E72" s="52">
        <v>423</v>
      </c>
      <c r="F72" s="51">
        <v>1256</v>
      </c>
      <c r="G72" s="52">
        <v>423</v>
      </c>
      <c r="H72" s="51">
        <v>1146</v>
      </c>
      <c r="I72" s="52">
        <v>381</v>
      </c>
      <c r="J72" s="51">
        <v>763</v>
      </c>
      <c r="K72" s="52">
        <v>327</v>
      </c>
      <c r="L72" s="53">
        <f t="shared" si="13"/>
        <v>1.0959860383944153</v>
      </c>
      <c r="M72" s="54">
        <f t="shared" si="13"/>
        <v>1.110236220472441</v>
      </c>
      <c r="N72" s="53">
        <f t="shared" si="12"/>
        <v>0.6549356223175966</v>
      </c>
      <c r="O72" s="54">
        <f t="shared" si="12"/>
        <v>0.7348314606741573</v>
      </c>
      <c r="P72" s="53">
        <f t="shared" si="14"/>
        <v>0.6657940663176265</v>
      </c>
      <c r="Q72" s="54">
        <f t="shared" si="14"/>
        <v>0.8582677165354331</v>
      </c>
    </row>
    <row r="73" spans="1:17" ht="15.75">
      <c r="A73" s="50" t="s">
        <v>109</v>
      </c>
      <c r="B73" s="51">
        <v>510</v>
      </c>
      <c r="C73" s="52">
        <v>0</v>
      </c>
      <c r="D73" s="51">
        <v>424</v>
      </c>
      <c r="E73" s="52">
        <v>0</v>
      </c>
      <c r="F73" s="51">
        <v>405</v>
      </c>
      <c r="G73" s="52">
        <v>0</v>
      </c>
      <c r="H73" s="51">
        <v>405</v>
      </c>
      <c r="I73" s="52">
        <v>0</v>
      </c>
      <c r="J73" s="51">
        <v>300</v>
      </c>
      <c r="K73" s="52">
        <v>0</v>
      </c>
      <c r="L73" s="53">
        <f t="shared" si="13"/>
        <v>1</v>
      </c>
      <c r="M73" s="54" t="str">
        <f t="shared" si="13"/>
        <v>x</v>
      </c>
      <c r="N73" s="53">
        <f t="shared" si="12"/>
        <v>0.5882352941176471</v>
      </c>
      <c r="O73" s="54" t="str">
        <f t="shared" si="12"/>
        <v>x</v>
      </c>
      <c r="P73" s="53">
        <f t="shared" si="14"/>
        <v>0.7407407407407407</v>
      </c>
      <c r="Q73" s="54" t="str">
        <f t="shared" si="14"/>
        <v>x</v>
      </c>
    </row>
    <row r="74" spans="1:17" ht="15.75">
      <c r="A74" s="50" t="s">
        <v>104</v>
      </c>
      <c r="B74" s="51">
        <v>1300</v>
      </c>
      <c r="C74" s="52">
        <v>150</v>
      </c>
      <c r="D74" s="51">
        <v>1680</v>
      </c>
      <c r="E74" s="52">
        <v>214</v>
      </c>
      <c r="F74" s="51">
        <v>1680</v>
      </c>
      <c r="G74" s="52">
        <v>214</v>
      </c>
      <c r="H74" s="51">
        <v>1572</v>
      </c>
      <c r="I74" s="52">
        <v>218</v>
      </c>
      <c r="J74" s="51">
        <v>943</v>
      </c>
      <c r="K74" s="52">
        <v>167</v>
      </c>
      <c r="L74" s="53">
        <f t="shared" si="13"/>
        <v>1.0687022900763359</v>
      </c>
      <c r="M74" s="54">
        <f t="shared" si="13"/>
        <v>0.981651376146789</v>
      </c>
      <c r="N74" s="53">
        <f t="shared" si="12"/>
        <v>0.7253846153846154</v>
      </c>
      <c r="O74" s="54">
        <f t="shared" si="12"/>
        <v>1.1133333333333333</v>
      </c>
      <c r="P74" s="53">
        <f t="shared" si="14"/>
        <v>0.5998727735368957</v>
      </c>
      <c r="Q74" s="54">
        <f t="shared" si="14"/>
        <v>0.7660550458715596</v>
      </c>
    </row>
    <row r="75" spans="1:17" ht="15.75">
      <c r="A75" s="50" t="s">
        <v>95</v>
      </c>
      <c r="B75" s="51">
        <v>200</v>
      </c>
      <c r="C75" s="52">
        <v>50</v>
      </c>
      <c r="D75" s="51">
        <v>942</v>
      </c>
      <c r="E75" s="52">
        <v>102</v>
      </c>
      <c r="F75" s="51">
        <v>841</v>
      </c>
      <c r="G75" s="52">
        <v>67</v>
      </c>
      <c r="H75" s="51">
        <v>314</v>
      </c>
      <c r="I75" s="52">
        <v>43</v>
      </c>
      <c r="J75" s="51">
        <v>176</v>
      </c>
      <c r="K75" s="52">
        <v>29</v>
      </c>
      <c r="L75" s="53">
        <f t="shared" si="13"/>
        <v>2.678343949044586</v>
      </c>
      <c r="M75" s="54">
        <f t="shared" si="13"/>
        <v>1.558139534883721</v>
      </c>
      <c r="N75" s="53">
        <f t="shared" si="12"/>
        <v>0.88</v>
      </c>
      <c r="O75" s="54">
        <f t="shared" si="12"/>
        <v>0.58</v>
      </c>
      <c r="P75" s="53">
        <f t="shared" si="14"/>
        <v>0.5605095541401274</v>
      </c>
      <c r="Q75" s="54">
        <f t="shared" si="14"/>
        <v>0.6744186046511628</v>
      </c>
    </row>
    <row r="76" spans="1:17" ht="15.75">
      <c r="A76" s="50" t="s">
        <v>110</v>
      </c>
      <c r="B76" s="51">
        <v>48</v>
      </c>
      <c r="C76" s="52">
        <v>0</v>
      </c>
      <c r="D76" s="51">
        <v>326</v>
      </c>
      <c r="E76" s="52">
        <v>0</v>
      </c>
      <c r="F76" s="51">
        <v>268</v>
      </c>
      <c r="G76" s="52">
        <v>0</v>
      </c>
      <c r="H76" s="51">
        <v>49</v>
      </c>
      <c r="I76" s="52">
        <v>0</v>
      </c>
      <c r="J76" s="51">
        <v>47</v>
      </c>
      <c r="K76" s="52">
        <v>0</v>
      </c>
      <c r="L76" s="53">
        <f t="shared" si="13"/>
        <v>5.469387755102041</v>
      </c>
      <c r="M76" s="54" t="str">
        <f t="shared" si="13"/>
        <v>x</v>
      </c>
      <c r="N76" s="53">
        <f t="shared" si="12"/>
        <v>0.9791666666666666</v>
      </c>
      <c r="O76" s="54" t="str">
        <f t="shared" si="12"/>
        <v>x</v>
      </c>
      <c r="P76" s="53">
        <f t="shared" si="14"/>
        <v>0.9591836734693877</v>
      </c>
      <c r="Q76" s="54" t="str">
        <f t="shared" si="14"/>
        <v>x</v>
      </c>
    </row>
    <row r="77" spans="1:17" ht="15.75">
      <c r="A77" s="50" t="s">
        <v>219</v>
      </c>
      <c r="B77" s="51">
        <v>510</v>
      </c>
      <c r="C77" s="52">
        <v>150</v>
      </c>
      <c r="D77" s="51">
        <v>685</v>
      </c>
      <c r="E77" s="52">
        <v>292</v>
      </c>
      <c r="F77" s="51">
        <v>685</v>
      </c>
      <c r="G77" s="52">
        <v>292</v>
      </c>
      <c r="H77" s="51">
        <v>612</v>
      </c>
      <c r="I77" s="52">
        <v>294</v>
      </c>
      <c r="J77" s="51">
        <v>429</v>
      </c>
      <c r="K77" s="52">
        <v>258</v>
      </c>
      <c r="L77" s="53">
        <f t="shared" si="13"/>
        <v>1.119281045751634</v>
      </c>
      <c r="M77" s="54">
        <f t="shared" si="13"/>
        <v>0.9931972789115646</v>
      </c>
      <c r="N77" s="53">
        <f t="shared" si="12"/>
        <v>0.8411764705882353</v>
      </c>
      <c r="O77" s="54">
        <f t="shared" si="12"/>
        <v>1.72</v>
      </c>
      <c r="P77" s="53">
        <f t="shared" si="14"/>
        <v>0.7009803921568627</v>
      </c>
      <c r="Q77" s="54">
        <f t="shared" si="14"/>
        <v>0.8775510204081632</v>
      </c>
    </row>
    <row r="78" spans="1:17" ht="15.75">
      <c r="A78" s="47" t="s">
        <v>111</v>
      </c>
      <c r="B78" s="55">
        <f>SUBTOTAL(9,B79:B86)</f>
        <v>3260</v>
      </c>
      <c r="C78" s="55">
        <f aca="true" t="shared" si="15" ref="C78:K78">SUBTOTAL(9,C79:C86)</f>
        <v>1050</v>
      </c>
      <c r="D78" s="55">
        <f t="shared" si="15"/>
        <v>6475</v>
      </c>
      <c r="E78" s="55">
        <f t="shared" si="15"/>
        <v>2018</v>
      </c>
      <c r="F78" s="55">
        <f t="shared" si="15"/>
        <v>5408</v>
      </c>
      <c r="G78" s="55">
        <f t="shared" si="15"/>
        <v>1778</v>
      </c>
      <c r="H78" s="55">
        <f t="shared" si="15"/>
        <v>4040</v>
      </c>
      <c r="I78" s="55">
        <f t="shared" si="15"/>
        <v>988</v>
      </c>
      <c r="J78" s="55">
        <f t="shared" si="15"/>
        <v>2730</v>
      </c>
      <c r="K78" s="55">
        <f t="shared" si="15"/>
        <v>902</v>
      </c>
      <c r="L78" s="49">
        <f t="shared" si="13"/>
        <v>1.3386138613861387</v>
      </c>
      <c r="M78" s="49">
        <f t="shared" si="13"/>
        <v>1.7995951417004048</v>
      </c>
      <c r="N78" s="49">
        <f t="shared" si="12"/>
        <v>0.8374233128834356</v>
      </c>
      <c r="O78" s="49">
        <f t="shared" si="12"/>
        <v>0.8590476190476191</v>
      </c>
      <c r="P78" s="49">
        <f t="shared" si="14"/>
        <v>0.6757425742574258</v>
      </c>
      <c r="Q78" s="49">
        <f t="shared" si="14"/>
        <v>0.9129554655870445</v>
      </c>
    </row>
    <row r="79" spans="1:17" ht="15.75">
      <c r="A79" s="50" t="s">
        <v>269</v>
      </c>
      <c r="B79" s="51">
        <v>15</v>
      </c>
      <c r="C79" s="52">
        <v>15</v>
      </c>
      <c r="D79" s="51">
        <v>34</v>
      </c>
      <c r="E79" s="52">
        <v>34</v>
      </c>
      <c r="F79" s="51">
        <v>24</v>
      </c>
      <c r="G79" s="52">
        <v>29</v>
      </c>
      <c r="H79" s="51">
        <v>24</v>
      </c>
      <c r="I79" s="52">
        <v>18</v>
      </c>
      <c r="J79" s="51">
        <v>18</v>
      </c>
      <c r="K79" s="52">
        <v>18</v>
      </c>
      <c r="L79" s="53">
        <f t="shared" si="13"/>
        <v>1</v>
      </c>
      <c r="M79" s="54">
        <f t="shared" si="13"/>
        <v>1.6111111111111112</v>
      </c>
      <c r="N79" s="53">
        <f t="shared" si="12"/>
        <v>1.2</v>
      </c>
      <c r="O79" s="54">
        <f t="shared" si="12"/>
        <v>1.2</v>
      </c>
      <c r="P79" s="53">
        <f t="shared" si="14"/>
        <v>0.75</v>
      </c>
      <c r="Q79" s="54">
        <f t="shared" si="14"/>
        <v>1</v>
      </c>
    </row>
    <row r="80" spans="1:17" ht="15.75">
      <c r="A80" s="50" t="s">
        <v>88</v>
      </c>
      <c r="B80" s="51">
        <v>580</v>
      </c>
      <c r="C80" s="52">
        <v>450</v>
      </c>
      <c r="D80" s="51">
        <v>1227</v>
      </c>
      <c r="E80" s="52">
        <v>1146</v>
      </c>
      <c r="F80" s="51">
        <v>1068</v>
      </c>
      <c r="G80" s="52">
        <v>1023</v>
      </c>
      <c r="H80" s="51">
        <v>681</v>
      </c>
      <c r="I80" s="52">
        <v>386</v>
      </c>
      <c r="J80" s="51">
        <v>472</v>
      </c>
      <c r="K80" s="52">
        <v>368</v>
      </c>
      <c r="L80" s="53">
        <f t="shared" si="13"/>
        <v>1.5682819383259912</v>
      </c>
      <c r="M80" s="54">
        <f t="shared" si="13"/>
        <v>2.650259067357513</v>
      </c>
      <c r="N80" s="53">
        <f t="shared" si="12"/>
        <v>0.8137931034482758</v>
      </c>
      <c r="O80" s="54">
        <f t="shared" si="12"/>
        <v>0.8177777777777778</v>
      </c>
      <c r="P80" s="53">
        <f t="shared" si="14"/>
        <v>0.6930983847283406</v>
      </c>
      <c r="Q80" s="54">
        <f t="shared" si="14"/>
        <v>0.9533678756476683</v>
      </c>
    </row>
    <row r="81" spans="1:17" ht="15.75">
      <c r="A81" s="50" t="s">
        <v>102</v>
      </c>
      <c r="B81" s="51">
        <v>500</v>
      </c>
      <c r="C81" s="52">
        <v>100</v>
      </c>
      <c r="D81" s="51">
        <v>634</v>
      </c>
      <c r="E81" s="52">
        <v>119</v>
      </c>
      <c r="F81" s="51">
        <v>575</v>
      </c>
      <c r="G81" s="52">
        <v>117</v>
      </c>
      <c r="H81" s="51">
        <v>556</v>
      </c>
      <c r="I81" s="52">
        <v>111</v>
      </c>
      <c r="J81" s="51">
        <v>339</v>
      </c>
      <c r="K81" s="52">
        <v>91</v>
      </c>
      <c r="L81" s="53">
        <f t="shared" si="13"/>
        <v>1.0341726618705036</v>
      </c>
      <c r="M81" s="54">
        <f t="shared" si="13"/>
        <v>1.054054054054054</v>
      </c>
      <c r="N81" s="53">
        <f t="shared" si="12"/>
        <v>0.678</v>
      </c>
      <c r="O81" s="54">
        <f t="shared" si="12"/>
        <v>0.91</v>
      </c>
      <c r="P81" s="53">
        <f t="shared" si="14"/>
        <v>0.6097122302158273</v>
      </c>
      <c r="Q81" s="54">
        <f t="shared" si="14"/>
        <v>0.8198198198198198</v>
      </c>
    </row>
    <row r="82" spans="1:17" ht="15.75">
      <c r="A82" s="50" t="s">
        <v>109</v>
      </c>
      <c r="B82" s="51">
        <v>350</v>
      </c>
      <c r="C82" s="52">
        <v>90</v>
      </c>
      <c r="D82" s="51">
        <v>522</v>
      </c>
      <c r="E82" s="52">
        <v>129</v>
      </c>
      <c r="F82" s="51">
        <v>522</v>
      </c>
      <c r="G82" s="52">
        <v>129</v>
      </c>
      <c r="H82" s="51">
        <v>451</v>
      </c>
      <c r="I82" s="52">
        <v>128</v>
      </c>
      <c r="J82" s="51">
        <v>283</v>
      </c>
      <c r="K82" s="52">
        <v>113</v>
      </c>
      <c r="L82" s="53">
        <f t="shared" si="13"/>
        <v>1.1574279379157428</v>
      </c>
      <c r="M82" s="54">
        <f t="shared" si="13"/>
        <v>1.0078125</v>
      </c>
      <c r="N82" s="53">
        <f t="shared" si="12"/>
        <v>0.8085714285714286</v>
      </c>
      <c r="O82" s="54">
        <f t="shared" si="12"/>
        <v>1.2555555555555555</v>
      </c>
      <c r="P82" s="53">
        <f t="shared" si="14"/>
        <v>0.6274944567627494</v>
      </c>
      <c r="Q82" s="54">
        <f t="shared" si="14"/>
        <v>0.8828125</v>
      </c>
    </row>
    <row r="83" spans="1:17" ht="15.75">
      <c r="A83" s="50" t="s">
        <v>112</v>
      </c>
      <c r="B83" s="51">
        <v>570</v>
      </c>
      <c r="C83" s="52">
        <v>0</v>
      </c>
      <c r="D83" s="51">
        <v>828</v>
      </c>
      <c r="E83" s="52">
        <v>0</v>
      </c>
      <c r="F83" s="51">
        <v>641</v>
      </c>
      <c r="G83" s="52">
        <v>0</v>
      </c>
      <c r="H83" s="51">
        <v>604</v>
      </c>
      <c r="I83" s="52">
        <v>0</v>
      </c>
      <c r="J83" s="51">
        <v>408</v>
      </c>
      <c r="K83" s="52">
        <v>0</v>
      </c>
      <c r="L83" s="53">
        <f t="shared" si="13"/>
        <v>1.0612582781456954</v>
      </c>
      <c r="M83" s="54" t="str">
        <f t="shared" si="13"/>
        <v>x</v>
      </c>
      <c r="N83" s="53">
        <f t="shared" si="12"/>
        <v>0.7157894736842105</v>
      </c>
      <c r="O83" s="54" t="str">
        <f t="shared" si="12"/>
        <v>x</v>
      </c>
      <c r="P83" s="53">
        <f t="shared" si="14"/>
        <v>0.6754966887417219</v>
      </c>
      <c r="Q83" s="54" t="str">
        <f t="shared" si="14"/>
        <v>x</v>
      </c>
    </row>
    <row r="84" spans="1:17" ht="15.75">
      <c r="A84" s="50" t="s">
        <v>272</v>
      </c>
      <c r="B84" s="51">
        <v>575</v>
      </c>
      <c r="C84" s="52">
        <v>215</v>
      </c>
      <c r="D84" s="51">
        <v>1807</v>
      </c>
      <c r="E84" s="52">
        <v>469</v>
      </c>
      <c r="F84" s="51">
        <v>1415</v>
      </c>
      <c r="G84" s="52">
        <v>377</v>
      </c>
      <c r="H84" s="51">
        <v>792</v>
      </c>
      <c r="I84" s="52">
        <v>247</v>
      </c>
      <c r="J84" s="51">
        <v>572</v>
      </c>
      <c r="K84" s="52">
        <v>223</v>
      </c>
      <c r="L84" s="53">
        <f t="shared" si="13"/>
        <v>1.7866161616161615</v>
      </c>
      <c r="M84" s="54">
        <f t="shared" si="13"/>
        <v>1.5263157894736843</v>
      </c>
      <c r="N84" s="53">
        <f t="shared" si="12"/>
        <v>0.9947826086956522</v>
      </c>
      <c r="O84" s="54">
        <f t="shared" si="12"/>
        <v>1.0372093023255815</v>
      </c>
      <c r="P84" s="53">
        <f t="shared" si="14"/>
        <v>0.7222222222222222</v>
      </c>
      <c r="Q84" s="54">
        <f t="shared" si="14"/>
        <v>0.902834008097166</v>
      </c>
    </row>
    <row r="85" spans="1:17" ht="15.75">
      <c r="A85" s="50" t="s">
        <v>113</v>
      </c>
      <c r="B85" s="51">
        <v>460</v>
      </c>
      <c r="C85" s="52">
        <v>0</v>
      </c>
      <c r="D85" s="51">
        <v>925</v>
      </c>
      <c r="E85" s="52">
        <v>0</v>
      </c>
      <c r="F85" s="51">
        <v>735</v>
      </c>
      <c r="G85" s="52">
        <v>0</v>
      </c>
      <c r="H85" s="51">
        <v>596</v>
      </c>
      <c r="I85" s="52">
        <v>0</v>
      </c>
      <c r="J85" s="51">
        <v>384</v>
      </c>
      <c r="K85" s="52">
        <v>0</v>
      </c>
      <c r="L85" s="53">
        <f t="shared" si="13"/>
        <v>1.233221476510067</v>
      </c>
      <c r="M85" s="54" t="str">
        <f t="shared" si="13"/>
        <v>x</v>
      </c>
      <c r="N85" s="53">
        <f t="shared" si="12"/>
        <v>0.8347826086956521</v>
      </c>
      <c r="O85" s="54" t="str">
        <f t="shared" si="12"/>
        <v>x</v>
      </c>
      <c r="P85" s="53">
        <f t="shared" si="14"/>
        <v>0.6442953020134228</v>
      </c>
      <c r="Q85" s="54" t="str">
        <f t="shared" si="14"/>
        <v>x</v>
      </c>
    </row>
    <row r="86" spans="1:17" ht="15.75">
      <c r="A86" s="50" t="s">
        <v>114</v>
      </c>
      <c r="B86" s="51">
        <v>210</v>
      </c>
      <c r="C86" s="52">
        <v>180</v>
      </c>
      <c r="D86" s="51">
        <v>498</v>
      </c>
      <c r="E86" s="52">
        <v>121</v>
      </c>
      <c r="F86" s="51">
        <v>428</v>
      </c>
      <c r="G86" s="52">
        <v>103</v>
      </c>
      <c r="H86" s="51">
        <v>336</v>
      </c>
      <c r="I86" s="52">
        <v>98</v>
      </c>
      <c r="J86" s="51">
        <v>254</v>
      </c>
      <c r="K86" s="52">
        <v>89</v>
      </c>
      <c r="L86" s="53">
        <f t="shared" si="13"/>
        <v>1.2738095238095237</v>
      </c>
      <c r="M86" s="54">
        <f t="shared" si="13"/>
        <v>1.0510204081632653</v>
      </c>
      <c r="N86" s="53">
        <f t="shared" si="12"/>
        <v>1.2095238095238094</v>
      </c>
      <c r="O86" s="54">
        <f t="shared" si="12"/>
        <v>0.49444444444444446</v>
      </c>
      <c r="P86" s="53">
        <f t="shared" si="14"/>
        <v>0.7559523809523809</v>
      </c>
      <c r="Q86" s="54">
        <f t="shared" si="14"/>
        <v>0.9081632653061225</v>
      </c>
    </row>
    <row r="87" spans="1:17" ht="15.75">
      <c r="A87" s="47" t="s">
        <v>115</v>
      </c>
      <c r="B87" s="55">
        <f>SUBTOTAL(9,B88:B92)</f>
        <v>1550</v>
      </c>
      <c r="C87" s="55">
        <f aca="true" t="shared" si="16" ref="C87:K87">SUBTOTAL(9,C88:C92)</f>
        <v>850</v>
      </c>
      <c r="D87" s="55">
        <f t="shared" si="16"/>
        <v>2809</v>
      </c>
      <c r="E87" s="55">
        <f t="shared" si="16"/>
        <v>1592</v>
      </c>
      <c r="F87" s="55">
        <f t="shared" si="16"/>
        <v>2465</v>
      </c>
      <c r="G87" s="55">
        <f t="shared" si="16"/>
        <v>1433</v>
      </c>
      <c r="H87" s="55">
        <f t="shared" si="16"/>
        <v>1960</v>
      </c>
      <c r="I87" s="55">
        <f t="shared" si="16"/>
        <v>1194</v>
      </c>
      <c r="J87" s="55">
        <f t="shared" si="16"/>
        <v>1195</v>
      </c>
      <c r="K87" s="55">
        <f t="shared" si="16"/>
        <v>926</v>
      </c>
      <c r="L87" s="49">
        <f t="shared" si="13"/>
        <v>1.2576530612244898</v>
      </c>
      <c r="M87" s="49">
        <f t="shared" si="13"/>
        <v>1.2001675041876048</v>
      </c>
      <c r="N87" s="49">
        <f t="shared" si="12"/>
        <v>0.7709677419354839</v>
      </c>
      <c r="O87" s="49">
        <f t="shared" si="12"/>
        <v>1.0894117647058823</v>
      </c>
      <c r="P87" s="49">
        <f t="shared" si="14"/>
        <v>0.6096938775510204</v>
      </c>
      <c r="Q87" s="49">
        <f t="shared" si="14"/>
        <v>0.7755443886097152</v>
      </c>
    </row>
    <row r="88" spans="1:17" ht="15.75">
      <c r="A88" s="50" t="s">
        <v>269</v>
      </c>
      <c r="B88" s="51">
        <v>210</v>
      </c>
      <c r="C88" s="52">
        <v>250</v>
      </c>
      <c r="D88" s="51">
        <v>452</v>
      </c>
      <c r="E88" s="52">
        <v>203</v>
      </c>
      <c r="F88" s="51">
        <v>351</v>
      </c>
      <c r="G88" s="52">
        <v>184</v>
      </c>
      <c r="H88" s="51">
        <v>347</v>
      </c>
      <c r="I88" s="52">
        <v>183</v>
      </c>
      <c r="J88" s="51">
        <v>231</v>
      </c>
      <c r="K88" s="52">
        <v>163</v>
      </c>
      <c r="L88" s="53">
        <f t="shared" si="13"/>
        <v>1.0115273775216138</v>
      </c>
      <c r="M88" s="54">
        <f t="shared" si="13"/>
        <v>1.005464480874317</v>
      </c>
      <c r="N88" s="53">
        <f t="shared" si="12"/>
        <v>1.1</v>
      </c>
      <c r="O88" s="54">
        <f t="shared" si="12"/>
        <v>0.652</v>
      </c>
      <c r="P88" s="53">
        <f t="shared" si="14"/>
        <v>0.6657060518731989</v>
      </c>
      <c r="Q88" s="54">
        <f t="shared" si="14"/>
        <v>0.8907103825136612</v>
      </c>
    </row>
    <row r="89" spans="1:17" ht="15.75">
      <c r="A89" s="50" t="s">
        <v>116</v>
      </c>
      <c r="B89" s="51">
        <v>300</v>
      </c>
      <c r="C89" s="52">
        <v>80</v>
      </c>
      <c r="D89" s="51">
        <v>214</v>
      </c>
      <c r="E89" s="52">
        <v>60</v>
      </c>
      <c r="F89" s="51">
        <v>192</v>
      </c>
      <c r="G89" s="52">
        <v>60</v>
      </c>
      <c r="H89" s="51">
        <v>192</v>
      </c>
      <c r="I89" s="52">
        <v>60</v>
      </c>
      <c r="J89" s="51">
        <v>96</v>
      </c>
      <c r="K89" s="52">
        <v>49</v>
      </c>
      <c r="L89" s="53">
        <f t="shared" si="13"/>
        <v>1</v>
      </c>
      <c r="M89" s="54">
        <f t="shared" si="13"/>
        <v>1</v>
      </c>
      <c r="N89" s="53">
        <f t="shared" si="12"/>
        <v>0.32</v>
      </c>
      <c r="O89" s="54">
        <f t="shared" si="12"/>
        <v>0.6125</v>
      </c>
      <c r="P89" s="53">
        <f t="shared" si="14"/>
        <v>0.5</v>
      </c>
      <c r="Q89" s="54">
        <f t="shared" si="14"/>
        <v>0.8166666666666667</v>
      </c>
    </row>
    <row r="90" spans="1:17" ht="15.75">
      <c r="A90" s="50" t="s">
        <v>117</v>
      </c>
      <c r="B90" s="51">
        <v>440</v>
      </c>
      <c r="C90" s="52">
        <v>120</v>
      </c>
      <c r="D90" s="51">
        <v>690</v>
      </c>
      <c r="E90" s="52">
        <v>233</v>
      </c>
      <c r="F90" s="51">
        <v>625</v>
      </c>
      <c r="G90" s="52">
        <v>230</v>
      </c>
      <c r="H90" s="51">
        <v>625</v>
      </c>
      <c r="I90" s="52">
        <v>230</v>
      </c>
      <c r="J90" s="51">
        <v>298</v>
      </c>
      <c r="K90" s="52">
        <v>174</v>
      </c>
      <c r="L90" s="53">
        <f t="shared" si="13"/>
        <v>1</v>
      </c>
      <c r="M90" s="54">
        <f t="shared" si="13"/>
        <v>1</v>
      </c>
      <c r="N90" s="53">
        <f t="shared" si="12"/>
        <v>0.6772727272727272</v>
      </c>
      <c r="O90" s="54">
        <f t="shared" si="12"/>
        <v>1.45</v>
      </c>
      <c r="P90" s="53">
        <f t="shared" si="14"/>
        <v>0.4768</v>
      </c>
      <c r="Q90" s="54">
        <f t="shared" si="14"/>
        <v>0.7565217391304347</v>
      </c>
    </row>
    <row r="91" spans="1:17" ht="15.75">
      <c r="A91" s="50" t="s">
        <v>118</v>
      </c>
      <c r="B91" s="51">
        <v>200</v>
      </c>
      <c r="C91" s="52">
        <v>200</v>
      </c>
      <c r="D91" s="51">
        <v>263</v>
      </c>
      <c r="E91" s="52">
        <v>202</v>
      </c>
      <c r="F91" s="51">
        <v>252</v>
      </c>
      <c r="G91" s="52">
        <v>200</v>
      </c>
      <c r="H91" s="51">
        <v>252</v>
      </c>
      <c r="I91" s="52">
        <v>200</v>
      </c>
      <c r="J91" s="51">
        <v>166</v>
      </c>
      <c r="K91" s="52">
        <v>159</v>
      </c>
      <c r="L91" s="53">
        <f t="shared" si="13"/>
        <v>1</v>
      </c>
      <c r="M91" s="54">
        <f t="shared" si="13"/>
        <v>1</v>
      </c>
      <c r="N91" s="53">
        <f t="shared" si="12"/>
        <v>0.83</v>
      </c>
      <c r="O91" s="54">
        <f t="shared" si="12"/>
        <v>0.795</v>
      </c>
      <c r="P91" s="53">
        <f t="shared" si="14"/>
        <v>0.6587301587301587</v>
      </c>
      <c r="Q91" s="54">
        <f t="shared" si="14"/>
        <v>0.795</v>
      </c>
    </row>
    <row r="92" spans="1:17" ht="15.75">
      <c r="A92" s="50" t="s">
        <v>119</v>
      </c>
      <c r="B92" s="51">
        <v>400</v>
      </c>
      <c r="C92" s="52">
        <v>200</v>
      </c>
      <c r="D92" s="51">
        <v>1190</v>
      </c>
      <c r="E92" s="52">
        <v>894</v>
      </c>
      <c r="F92" s="51">
        <v>1045</v>
      </c>
      <c r="G92" s="52">
        <v>759</v>
      </c>
      <c r="H92" s="51">
        <v>544</v>
      </c>
      <c r="I92" s="52">
        <v>521</v>
      </c>
      <c r="J92" s="51">
        <v>404</v>
      </c>
      <c r="K92" s="52">
        <v>381</v>
      </c>
      <c r="L92" s="53">
        <f t="shared" si="13"/>
        <v>1.9209558823529411</v>
      </c>
      <c r="M92" s="54">
        <f t="shared" si="13"/>
        <v>1.4568138195777351</v>
      </c>
      <c r="N92" s="53">
        <f t="shared" si="12"/>
        <v>1.01</v>
      </c>
      <c r="O92" s="54">
        <f t="shared" si="12"/>
        <v>1.905</v>
      </c>
      <c r="P92" s="53">
        <f t="shared" si="14"/>
        <v>0.7426470588235294</v>
      </c>
      <c r="Q92" s="54">
        <f t="shared" si="14"/>
        <v>0.7312859884836852</v>
      </c>
    </row>
    <row r="93" spans="1:17" ht="15.75">
      <c r="A93" s="47" t="s">
        <v>120</v>
      </c>
      <c r="B93" s="55">
        <f>SUBTOTAL(9,B94:B99)</f>
        <v>3510</v>
      </c>
      <c r="C93" s="55">
        <f aca="true" t="shared" si="17" ref="C93:K93">SUBTOTAL(9,C94:C99)</f>
        <v>920</v>
      </c>
      <c r="D93" s="55">
        <f t="shared" si="17"/>
        <v>9745</v>
      </c>
      <c r="E93" s="55">
        <f t="shared" si="17"/>
        <v>2114</v>
      </c>
      <c r="F93" s="55">
        <f t="shared" si="17"/>
        <v>7998</v>
      </c>
      <c r="G93" s="55">
        <f t="shared" si="17"/>
        <v>1531</v>
      </c>
      <c r="H93" s="55">
        <f t="shared" si="17"/>
        <v>5371</v>
      </c>
      <c r="I93" s="55">
        <f t="shared" si="17"/>
        <v>1095</v>
      </c>
      <c r="J93" s="55">
        <f t="shared" si="17"/>
        <v>2954</v>
      </c>
      <c r="K93" s="55">
        <f t="shared" si="17"/>
        <v>773</v>
      </c>
      <c r="L93" s="49">
        <f t="shared" si="13"/>
        <v>1.4891081735244833</v>
      </c>
      <c r="M93" s="49">
        <f t="shared" si="13"/>
        <v>1.3981735159817352</v>
      </c>
      <c r="N93" s="49">
        <f t="shared" si="12"/>
        <v>0.8415954415954416</v>
      </c>
      <c r="O93" s="49">
        <f t="shared" si="12"/>
        <v>0.8402173913043478</v>
      </c>
      <c r="P93" s="49">
        <f t="shared" si="14"/>
        <v>0.5499906907466021</v>
      </c>
      <c r="Q93" s="49">
        <f t="shared" si="14"/>
        <v>0.7059360730593607</v>
      </c>
    </row>
    <row r="94" spans="1:17" ht="15.75">
      <c r="A94" s="50" t="s">
        <v>121</v>
      </c>
      <c r="B94" s="51">
        <v>750</v>
      </c>
      <c r="C94" s="52">
        <v>220</v>
      </c>
      <c r="D94" s="51">
        <v>2407</v>
      </c>
      <c r="E94" s="52">
        <v>370</v>
      </c>
      <c r="F94" s="51">
        <v>1919</v>
      </c>
      <c r="G94" s="52">
        <v>255</v>
      </c>
      <c r="H94" s="51">
        <v>1244</v>
      </c>
      <c r="I94" s="52">
        <v>203</v>
      </c>
      <c r="J94" s="51">
        <v>583</v>
      </c>
      <c r="K94" s="52">
        <v>142</v>
      </c>
      <c r="L94" s="53">
        <f t="shared" si="13"/>
        <v>1.542604501607717</v>
      </c>
      <c r="M94" s="54">
        <f t="shared" si="13"/>
        <v>1.2561576354679802</v>
      </c>
      <c r="N94" s="53">
        <f t="shared" si="12"/>
        <v>0.7773333333333333</v>
      </c>
      <c r="O94" s="54">
        <f t="shared" si="12"/>
        <v>0.6454545454545455</v>
      </c>
      <c r="P94" s="53">
        <f t="shared" si="14"/>
        <v>0.46864951768488744</v>
      </c>
      <c r="Q94" s="54">
        <f t="shared" si="14"/>
        <v>0.6995073891625616</v>
      </c>
    </row>
    <row r="95" spans="1:17" ht="15.75">
      <c r="A95" s="50" t="s">
        <v>122</v>
      </c>
      <c r="B95" s="51">
        <v>800</v>
      </c>
      <c r="C95" s="52">
        <v>160</v>
      </c>
      <c r="D95" s="51">
        <v>2583</v>
      </c>
      <c r="E95" s="52">
        <v>605</v>
      </c>
      <c r="F95" s="51">
        <v>2129</v>
      </c>
      <c r="G95" s="52">
        <v>454</v>
      </c>
      <c r="H95" s="51">
        <v>1265</v>
      </c>
      <c r="I95" s="52">
        <v>277</v>
      </c>
      <c r="J95" s="51">
        <v>683</v>
      </c>
      <c r="K95" s="52">
        <v>138</v>
      </c>
      <c r="L95" s="53">
        <f t="shared" si="13"/>
        <v>1.68300395256917</v>
      </c>
      <c r="M95" s="54">
        <f t="shared" si="13"/>
        <v>1.6389891696750902</v>
      </c>
      <c r="N95" s="53">
        <f t="shared" si="12"/>
        <v>0.85375</v>
      </c>
      <c r="O95" s="54">
        <f t="shared" si="12"/>
        <v>0.8625</v>
      </c>
      <c r="P95" s="53">
        <f t="shared" si="14"/>
        <v>0.5399209486166008</v>
      </c>
      <c r="Q95" s="54">
        <f t="shared" si="14"/>
        <v>0.4981949458483754</v>
      </c>
    </row>
    <row r="96" spans="1:17" ht="15.75">
      <c r="A96" s="50" t="s">
        <v>123</v>
      </c>
      <c r="B96" s="51">
        <v>750</v>
      </c>
      <c r="C96" s="52">
        <v>220</v>
      </c>
      <c r="D96" s="51">
        <v>1333</v>
      </c>
      <c r="E96" s="52">
        <v>540</v>
      </c>
      <c r="F96" s="51">
        <v>1147</v>
      </c>
      <c r="G96" s="52">
        <v>396</v>
      </c>
      <c r="H96" s="51">
        <v>1002</v>
      </c>
      <c r="I96" s="52">
        <v>322</v>
      </c>
      <c r="J96" s="51">
        <v>640</v>
      </c>
      <c r="K96" s="52">
        <v>253</v>
      </c>
      <c r="L96" s="53">
        <f t="shared" si="13"/>
        <v>1.1447105788423153</v>
      </c>
      <c r="M96" s="54">
        <f t="shared" si="13"/>
        <v>1.2298136645962734</v>
      </c>
      <c r="N96" s="53">
        <f t="shared" si="12"/>
        <v>0.8533333333333334</v>
      </c>
      <c r="O96" s="54">
        <f t="shared" si="12"/>
        <v>1.15</v>
      </c>
      <c r="P96" s="53">
        <f t="shared" si="14"/>
        <v>0.6387225548902196</v>
      </c>
      <c r="Q96" s="54">
        <f t="shared" si="14"/>
        <v>0.7857142857142857</v>
      </c>
    </row>
    <row r="97" spans="1:17" ht="15.75">
      <c r="A97" s="50" t="s">
        <v>124</v>
      </c>
      <c r="B97" s="51">
        <v>310</v>
      </c>
      <c r="C97" s="52">
        <v>160</v>
      </c>
      <c r="D97" s="51">
        <v>830</v>
      </c>
      <c r="E97" s="52">
        <v>169</v>
      </c>
      <c r="F97" s="51">
        <v>684</v>
      </c>
      <c r="G97" s="52">
        <v>112</v>
      </c>
      <c r="H97" s="51">
        <v>499</v>
      </c>
      <c r="I97" s="52">
        <v>69</v>
      </c>
      <c r="J97" s="51">
        <v>316</v>
      </c>
      <c r="K97" s="52">
        <v>65</v>
      </c>
      <c r="L97" s="53">
        <f t="shared" si="13"/>
        <v>1.370741482965932</v>
      </c>
      <c r="M97" s="54">
        <f t="shared" si="13"/>
        <v>1.6231884057971016</v>
      </c>
      <c r="N97" s="53">
        <f t="shared" si="12"/>
        <v>1.0193548387096774</v>
      </c>
      <c r="O97" s="54">
        <f t="shared" si="12"/>
        <v>0.40625</v>
      </c>
      <c r="P97" s="53">
        <f t="shared" si="14"/>
        <v>0.6332665330661322</v>
      </c>
      <c r="Q97" s="54">
        <f t="shared" si="14"/>
        <v>0.9420289855072463</v>
      </c>
    </row>
    <row r="98" spans="1:17" ht="15.75">
      <c r="A98" s="50" t="s">
        <v>125</v>
      </c>
      <c r="B98" s="51">
        <v>750</v>
      </c>
      <c r="C98" s="52">
        <v>160</v>
      </c>
      <c r="D98" s="51">
        <v>2126</v>
      </c>
      <c r="E98" s="52">
        <v>430</v>
      </c>
      <c r="F98" s="51">
        <v>1729</v>
      </c>
      <c r="G98" s="52">
        <v>314</v>
      </c>
      <c r="H98" s="51">
        <v>1080</v>
      </c>
      <c r="I98" s="52">
        <v>224</v>
      </c>
      <c r="J98" s="51">
        <v>535</v>
      </c>
      <c r="K98" s="52">
        <v>175</v>
      </c>
      <c r="L98" s="53">
        <f t="shared" si="13"/>
        <v>1.6009259259259259</v>
      </c>
      <c r="M98" s="54">
        <f t="shared" si="13"/>
        <v>1.4017857142857142</v>
      </c>
      <c r="N98" s="53">
        <f t="shared" si="12"/>
        <v>0.7133333333333334</v>
      </c>
      <c r="O98" s="54">
        <f t="shared" si="12"/>
        <v>1.09375</v>
      </c>
      <c r="P98" s="53">
        <f t="shared" si="14"/>
        <v>0.49537037037037035</v>
      </c>
      <c r="Q98" s="54">
        <f t="shared" si="14"/>
        <v>0.78125</v>
      </c>
    </row>
    <row r="99" spans="1:17" ht="15.75">
      <c r="A99" s="50" t="s">
        <v>126</v>
      </c>
      <c r="B99" s="51">
        <v>150</v>
      </c>
      <c r="C99" s="52">
        <v>0</v>
      </c>
      <c r="D99" s="51">
        <v>466</v>
      </c>
      <c r="E99" s="52">
        <v>0</v>
      </c>
      <c r="F99" s="51">
        <v>390</v>
      </c>
      <c r="G99" s="52">
        <v>0</v>
      </c>
      <c r="H99" s="51">
        <v>281</v>
      </c>
      <c r="I99" s="52">
        <v>0</v>
      </c>
      <c r="J99" s="51">
        <v>197</v>
      </c>
      <c r="K99" s="52">
        <v>0</v>
      </c>
      <c r="L99" s="53">
        <f t="shared" si="13"/>
        <v>1.387900355871886</v>
      </c>
      <c r="M99" s="54" t="str">
        <f t="shared" si="13"/>
        <v>x</v>
      </c>
      <c r="N99" s="53">
        <f t="shared" si="12"/>
        <v>1.3133333333333332</v>
      </c>
      <c r="O99" s="54" t="str">
        <f t="shared" si="12"/>
        <v>x</v>
      </c>
      <c r="P99" s="53">
        <f>IF(ISERROR(J99/H99),"x",J99/H99)</f>
        <v>0.701067615658363</v>
      </c>
      <c r="Q99" s="54" t="str">
        <f t="shared" si="14"/>
        <v>x</v>
      </c>
    </row>
    <row r="100" spans="1:17" ht="15.75">
      <c r="A100" s="47" t="s">
        <v>127</v>
      </c>
      <c r="B100" s="55">
        <f>SUBTOTAL(9,B101:B106)</f>
        <v>1820</v>
      </c>
      <c r="C100" s="55">
        <f aca="true" t="shared" si="18" ref="C100:K100">SUBTOTAL(9,C101:C106)</f>
        <v>910</v>
      </c>
      <c r="D100" s="55">
        <f t="shared" si="18"/>
        <v>5920</v>
      </c>
      <c r="E100" s="55">
        <f t="shared" si="18"/>
        <v>2049</v>
      </c>
      <c r="F100" s="55">
        <f t="shared" si="18"/>
        <v>4880</v>
      </c>
      <c r="G100" s="55">
        <f t="shared" si="18"/>
        <v>1684</v>
      </c>
      <c r="H100" s="55">
        <f t="shared" si="18"/>
        <v>2522</v>
      </c>
      <c r="I100" s="55">
        <f t="shared" si="18"/>
        <v>1062</v>
      </c>
      <c r="J100" s="55">
        <f t="shared" si="18"/>
        <v>1861</v>
      </c>
      <c r="K100" s="55">
        <f t="shared" si="18"/>
        <v>930</v>
      </c>
      <c r="L100" s="49">
        <f t="shared" si="13"/>
        <v>1.9349722442505948</v>
      </c>
      <c r="M100" s="49">
        <f t="shared" si="13"/>
        <v>1.5856873822975517</v>
      </c>
      <c r="N100" s="49">
        <f t="shared" si="12"/>
        <v>1.0225274725274724</v>
      </c>
      <c r="O100" s="49">
        <f t="shared" si="12"/>
        <v>1.021978021978022</v>
      </c>
      <c r="P100" s="49">
        <f t="shared" si="14"/>
        <v>0.7379064234734338</v>
      </c>
      <c r="Q100" s="49">
        <f t="shared" si="14"/>
        <v>0.8757062146892656</v>
      </c>
    </row>
    <row r="101" spans="1:17" ht="15.75">
      <c r="A101" s="50" t="s">
        <v>128</v>
      </c>
      <c r="B101" s="51">
        <v>180</v>
      </c>
      <c r="C101" s="52">
        <v>100</v>
      </c>
      <c r="D101" s="51">
        <v>265</v>
      </c>
      <c r="E101" s="52">
        <v>100</v>
      </c>
      <c r="F101" s="51">
        <v>208</v>
      </c>
      <c r="G101" s="52">
        <v>80</v>
      </c>
      <c r="H101" s="51">
        <v>220</v>
      </c>
      <c r="I101" s="52">
        <v>77</v>
      </c>
      <c r="J101" s="51">
        <v>156</v>
      </c>
      <c r="K101" s="52">
        <v>64</v>
      </c>
      <c r="L101" s="53">
        <f t="shared" si="13"/>
        <v>0.9454545454545454</v>
      </c>
      <c r="M101" s="54">
        <f t="shared" si="13"/>
        <v>1.0389610389610389</v>
      </c>
      <c r="N101" s="53">
        <f t="shared" si="12"/>
        <v>0.8666666666666667</v>
      </c>
      <c r="O101" s="54">
        <f t="shared" si="12"/>
        <v>0.64</v>
      </c>
      <c r="P101" s="53">
        <f t="shared" si="14"/>
        <v>0.7090909090909091</v>
      </c>
      <c r="Q101" s="54">
        <f t="shared" si="14"/>
        <v>0.8311688311688312</v>
      </c>
    </row>
    <row r="102" spans="1:17" ht="15.75">
      <c r="A102" s="50" t="s">
        <v>129</v>
      </c>
      <c r="B102" s="51">
        <v>360</v>
      </c>
      <c r="C102" s="52">
        <v>150</v>
      </c>
      <c r="D102" s="51">
        <v>2466</v>
      </c>
      <c r="E102" s="52">
        <v>773</v>
      </c>
      <c r="F102" s="51">
        <v>2089</v>
      </c>
      <c r="G102" s="52">
        <v>623</v>
      </c>
      <c r="H102" s="51">
        <v>412</v>
      </c>
      <c r="I102" s="52">
        <v>209</v>
      </c>
      <c r="J102" s="51">
        <v>370</v>
      </c>
      <c r="K102" s="52">
        <v>191</v>
      </c>
      <c r="L102" s="53">
        <f t="shared" si="13"/>
        <v>5.070388349514563</v>
      </c>
      <c r="M102" s="54">
        <f t="shared" si="13"/>
        <v>2.9808612440191387</v>
      </c>
      <c r="N102" s="53">
        <f t="shared" si="12"/>
        <v>1.0277777777777777</v>
      </c>
      <c r="O102" s="54">
        <f t="shared" si="12"/>
        <v>1.2733333333333334</v>
      </c>
      <c r="P102" s="53">
        <f t="shared" si="14"/>
        <v>0.8980582524271845</v>
      </c>
      <c r="Q102" s="54">
        <f t="shared" si="14"/>
        <v>0.9138755980861244</v>
      </c>
    </row>
    <row r="103" spans="1:17" ht="15.75">
      <c r="A103" s="50" t="s">
        <v>130</v>
      </c>
      <c r="B103" s="51">
        <v>480</v>
      </c>
      <c r="C103" s="52">
        <v>300</v>
      </c>
      <c r="D103" s="51">
        <v>1159</v>
      </c>
      <c r="E103" s="52">
        <v>478</v>
      </c>
      <c r="F103" s="51">
        <v>915</v>
      </c>
      <c r="G103" s="52">
        <v>416</v>
      </c>
      <c r="H103" s="51">
        <v>821</v>
      </c>
      <c r="I103" s="52">
        <v>312</v>
      </c>
      <c r="J103" s="51">
        <v>556</v>
      </c>
      <c r="K103" s="52">
        <v>268</v>
      </c>
      <c r="L103" s="53">
        <f t="shared" si="13"/>
        <v>1.1144945188794153</v>
      </c>
      <c r="M103" s="54">
        <f t="shared" si="13"/>
        <v>1.3333333333333333</v>
      </c>
      <c r="N103" s="53">
        <f t="shared" si="12"/>
        <v>1.1583333333333334</v>
      </c>
      <c r="O103" s="54">
        <f t="shared" si="12"/>
        <v>0.8933333333333333</v>
      </c>
      <c r="P103" s="53">
        <f t="shared" si="14"/>
        <v>0.6772228989037758</v>
      </c>
      <c r="Q103" s="54">
        <f t="shared" si="14"/>
        <v>0.8589743589743589</v>
      </c>
    </row>
    <row r="104" spans="1:17" ht="15.75">
      <c r="A104" s="50" t="s">
        <v>131</v>
      </c>
      <c r="B104" s="51">
        <v>260</v>
      </c>
      <c r="C104" s="52">
        <v>140</v>
      </c>
      <c r="D104" s="51">
        <v>408</v>
      </c>
      <c r="E104" s="52">
        <v>178</v>
      </c>
      <c r="F104" s="51">
        <v>367</v>
      </c>
      <c r="G104" s="52">
        <v>170</v>
      </c>
      <c r="H104" s="51">
        <v>367</v>
      </c>
      <c r="I104" s="52">
        <v>169</v>
      </c>
      <c r="J104" s="51">
        <v>255</v>
      </c>
      <c r="K104" s="52">
        <v>155</v>
      </c>
      <c r="L104" s="53">
        <f t="shared" si="13"/>
        <v>1</v>
      </c>
      <c r="M104" s="54">
        <f t="shared" si="13"/>
        <v>1.0059171597633136</v>
      </c>
      <c r="N104" s="53">
        <f t="shared" si="12"/>
        <v>0.9807692307692307</v>
      </c>
      <c r="O104" s="54">
        <f t="shared" si="12"/>
        <v>1.1071428571428572</v>
      </c>
      <c r="P104" s="53">
        <f t="shared" si="14"/>
        <v>0.6948228882833788</v>
      </c>
      <c r="Q104" s="54">
        <f t="shared" si="14"/>
        <v>0.9171597633136095</v>
      </c>
    </row>
    <row r="105" spans="1:17" ht="15.75">
      <c r="A105" s="50" t="s">
        <v>132</v>
      </c>
      <c r="B105" s="51">
        <v>260</v>
      </c>
      <c r="C105" s="52">
        <v>60</v>
      </c>
      <c r="D105" s="51">
        <v>499</v>
      </c>
      <c r="E105" s="52">
        <v>97</v>
      </c>
      <c r="F105" s="51">
        <v>406</v>
      </c>
      <c r="G105" s="52">
        <v>80</v>
      </c>
      <c r="H105" s="51">
        <v>326</v>
      </c>
      <c r="I105" s="52">
        <v>69</v>
      </c>
      <c r="J105" s="51">
        <v>259</v>
      </c>
      <c r="K105" s="52">
        <v>57</v>
      </c>
      <c r="L105" s="53">
        <f t="shared" si="13"/>
        <v>1.2453987730061349</v>
      </c>
      <c r="M105" s="54">
        <f t="shared" si="13"/>
        <v>1.1594202898550725</v>
      </c>
      <c r="N105" s="53">
        <f t="shared" si="12"/>
        <v>0.9961538461538462</v>
      </c>
      <c r="O105" s="54">
        <f t="shared" si="12"/>
        <v>0.95</v>
      </c>
      <c r="P105" s="53">
        <f t="shared" si="14"/>
        <v>0.7944785276073619</v>
      </c>
      <c r="Q105" s="54">
        <f t="shared" si="14"/>
        <v>0.8260869565217391</v>
      </c>
    </row>
    <row r="106" spans="1:17" ht="15.75">
      <c r="A106" s="50" t="s">
        <v>281</v>
      </c>
      <c r="B106" s="51">
        <v>280</v>
      </c>
      <c r="C106" s="52">
        <v>160</v>
      </c>
      <c r="D106" s="51">
        <v>1123</v>
      </c>
      <c r="E106" s="52">
        <v>423</v>
      </c>
      <c r="F106" s="51">
        <v>895</v>
      </c>
      <c r="G106" s="52">
        <v>315</v>
      </c>
      <c r="H106" s="51">
        <v>376</v>
      </c>
      <c r="I106" s="52">
        <v>226</v>
      </c>
      <c r="J106" s="51">
        <v>265</v>
      </c>
      <c r="K106" s="52">
        <v>195</v>
      </c>
      <c r="L106" s="53">
        <f t="shared" si="13"/>
        <v>2.38031914893617</v>
      </c>
      <c r="M106" s="54">
        <f t="shared" si="13"/>
        <v>1.3938053097345133</v>
      </c>
      <c r="N106" s="53">
        <f t="shared" si="12"/>
        <v>0.9464285714285714</v>
      </c>
      <c r="O106" s="54">
        <f t="shared" si="12"/>
        <v>1.21875</v>
      </c>
      <c r="P106" s="53">
        <f t="shared" si="14"/>
        <v>0.7047872340425532</v>
      </c>
      <c r="Q106" s="54">
        <f t="shared" si="14"/>
        <v>0.8628318584070797</v>
      </c>
    </row>
    <row r="107" spans="1:17" ht="15.75">
      <c r="A107" s="47" t="s">
        <v>133</v>
      </c>
      <c r="B107" s="55">
        <f>SUBTOTAL(9,B108:B112)</f>
        <v>1330</v>
      </c>
      <c r="C107" s="55">
        <f aca="true" t="shared" si="19" ref="C107:K107">SUBTOTAL(9,C108:C112)</f>
        <v>635</v>
      </c>
      <c r="D107" s="55">
        <f t="shared" si="19"/>
        <v>2318</v>
      </c>
      <c r="E107" s="55">
        <f t="shared" si="19"/>
        <v>747</v>
      </c>
      <c r="F107" s="55">
        <f t="shared" si="19"/>
        <v>2057</v>
      </c>
      <c r="G107" s="55">
        <f t="shared" si="19"/>
        <v>715</v>
      </c>
      <c r="H107" s="55">
        <f t="shared" si="19"/>
        <v>1584</v>
      </c>
      <c r="I107" s="55">
        <f t="shared" si="19"/>
        <v>573</v>
      </c>
      <c r="J107" s="55">
        <f t="shared" si="19"/>
        <v>962</v>
      </c>
      <c r="K107" s="55">
        <f t="shared" si="19"/>
        <v>401</v>
      </c>
      <c r="L107" s="49">
        <f t="shared" si="13"/>
        <v>1.2986111111111112</v>
      </c>
      <c r="M107" s="49">
        <f t="shared" si="13"/>
        <v>1.2478184991273997</v>
      </c>
      <c r="N107" s="49">
        <f t="shared" si="12"/>
        <v>0.7233082706766917</v>
      </c>
      <c r="O107" s="49">
        <f t="shared" si="12"/>
        <v>0.631496062992126</v>
      </c>
      <c r="P107" s="49">
        <f t="shared" si="14"/>
        <v>0.6073232323232324</v>
      </c>
      <c r="Q107" s="49">
        <f t="shared" si="14"/>
        <v>0.699825479930192</v>
      </c>
    </row>
    <row r="108" spans="1:17" ht="15.75">
      <c r="A108" s="50" t="s">
        <v>269</v>
      </c>
      <c r="B108" s="51">
        <v>90</v>
      </c>
      <c r="C108" s="52">
        <v>60</v>
      </c>
      <c r="D108" s="51">
        <v>97</v>
      </c>
      <c r="E108" s="52">
        <v>59</v>
      </c>
      <c r="F108" s="51">
        <v>97</v>
      </c>
      <c r="G108" s="52">
        <v>59</v>
      </c>
      <c r="H108" s="51">
        <v>97</v>
      </c>
      <c r="I108" s="52">
        <v>59</v>
      </c>
      <c r="J108" s="51">
        <v>56</v>
      </c>
      <c r="K108" s="52">
        <v>55</v>
      </c>
      <c r="L108" s="53">
        <f t="shared" si="13"/>
        <v>1</v>
      </c>
      <c r="M108" s="54">
        <f t="shared" si="13"/>
        <v>1</v>
      </c>
      <c r="N108" s="53">
        <f t="shared" si="12"/>
        <v>0.6222222222222222</v>
      </c>
      <c r="O108" s="54">
        <f t="shared" si="12"/>
        <v>0.9166666666666666</v>
      </c>
      <c r="P108" s="53">
        <f t="shared" si="14"/>
        <v>0.5773195876288659</v>
      </c>
      <c r="Q108" s="54">
        <f t="shared" si="14"/>
        <v>0.9322033898305084</v>
      </c>
    </row>
    <row r="109" spans="1:17" ht="15.75">
      <c r="A109" s="50" t="s">
        <v>236</v>
      </c>
      <c r="B109" s="51">
        <v>260</v>
      </c>
      <c r="C109" s="52">
        <v>80</v>
      </c>
      <c r="D109" s="51">
        <v>447</v>
      </c>
      <c r="E109" s="52">
        <v>155</v>
      </c>
      <c r="F109" s="51">
        <v>358</v>
      </c>
      <c r="G109" s="52">
        <v>138</v>
      </c>
      <c r="H109" s="51">
        <v>351</v>
      </c>
      <c r="I109" s="52">
        <v>136</v>
      </c>
      <c r="J109" s="51">
        <v>207</v>
      </c>
      <c r="K109" s="52">
        <v>100</v>
      </c>
      <c r="L109" s="53">
        <f t="shared" si="13"/>
        <v>1.01994301994302</v>
      </c>
      <c r="M109" s="54">
        <f t="shared" si="13"/>
        <v>1.0147058823529411</v>
      </c>
      <c r="N109" s="53">
        <f t="shared" si="12"/>
        <v>0.7961538461538461</v>
      </c>
      <c r="O109" s="54">
        <f t="shared" si="12"/>
        <v>1.25</v>
      </c>
      <c r="P109" s="53">
        <f t="shared" si="14"/>
        <v>0.5897435897435898</v>
      </c>
      <c r="Q109" s="54">
        <f t="shared" si="14"/>
        <v>0.7352941176470589</v>
      </c>
    </row>
    <row r="110" spans="1:17" ht="15.75">
      <c r="A110" s="50" t="s">
        <v>134</v>
      </c>
      <c r="B110" s="51">
        <v>300</v>
      </c>
      <c r="C110" s="52">
        <v>100</v>
      </c>
      <c r="D110" s="51">
        <v>380</v>
      </c>
      <c r="E110" s="52">
        <v>110</v>
      </c>
      <c r="F110" s="51">
        <v>339</v>
      </c>
      <c r="G110" s="52">
        <v>110</v>
      </c>
      <c r="H110" s="51">
        <v>333</v>
      </c>
      <c r="I110" s="52">
        <v>110</v>
      </c>
      <c r="J110" s="51">
        <v>210</v>
      </c>
      <c r="K110" s="52">
        <v>87</v>
      </c>
      <c r="L110" s="53">
        <f t="shared" si="13"/>
        <v>1.018018018018018</v>
      </c>
      <c r="M110" s="54">
        <f t="shared" si="13"/>
        <v>1</v>
      </c>
      <c r="N110" s="53">
        <f t="shared" si="12"/>
        <v>0.7</v>
      </c>
      <c r="O110" s="54">
        <f t="shared" si="12"/>
        <v>0.87</v>
      </c>
      <c r="P110" s="53">
        <f t="shared" si="14"/>
        <v>0.6306306306306306</v>
      </c>
      <c r="Q110" s="54">
        <f t="shared" si="14"/>
        <v>0.7909090909090909</v>
      </c>
    </row>
    <row r="111" spans="1:17" ht="15.75">
      <c r="A111" s="50" t="s">
        <v>135</v>
      </c>
      <c r="B111" s="51">
        <v>500</v>
      </c>
      <c r="C111" s="52">
        <v>395</v>
      </c>
      <c r="D111" s="51">
        <v>973</v>
      </c>
      <c r="E111" s="52">
        <v>423</v>
      </c>
      <c r="F111" s="51">
        <v>927</v>
      </c>
      <c r="G111" s="52">
        <v>408</v>
      </c>
      <c r="H111" s="51">
        <v>533</v>
      </c>
      <c r="I111" s="52">
        <v>268</v>
      </c>
      <c r="J111" s="51">
        <v>318</v>
      </c>
      <c r="K111" s="52">
        <v>159</v>
      </c>
      <c r="L111" s="53">
        <f t="shared" si="13"/>
        <v>1.7392120075046904</v>
      </c>
      <c r="M111" s="54">
        <f t="shared" si="13"/>
        <v>1.5223880597014925</v>
      </c>
      <c r="N111" s="53">
        <f t="shared" si="12"/>
        <v>0.636</v>
      </c>
      <c r="O111" s="54">
        <f t="shared" si="12"/>
        <v>0.40253164556962023</v>
      </c>
      <c r="P111" s="53">
        <f t="shared" si="14"/>
        <v>0.5966228893058161</v>
      </c>
      <c r="Q111" s="54">
        <f t="shared" si="14"/>
        <v>0.5932835820895522</v>
      </c>
    </row>
    <row r="112" spans="1:17" ht="15.75">
      <c r="A112" s="50" t="s">
        <v>136</v>
      </c>
      <c r="B112" s="51">
        <v>180</v>
      </c>
      <c r="C112" s="52">
        <v>0</v>
      </c>
      <c r="D112" s="51">
        <v>421</v>
      </c>
      <c r="E112" s="52">
        <v>0</v>
      </c>
      <c r="F112" s="51">
        <v>336</v>
      </c>
      <c r="G112" s="52">
        <v>0</v>
      </c>
      <c r="H112" s="51">
        <v>270</v>
      </c>
      <c r="I112" s="52">
        <v>0</v>
      </c>
      <c r="J112" s="51">
        <v>171</v>
      </c>
      <c r="K112" s="52">
        <v>0</v>
      </c>
      <c r="L112" s="53">
        <f t="shared" si="13"/>
        <v>1.2444444444444445</v>
      </c>
      <c r="M112" s="54" t="str">
        <f t="shared" si="13"/>
        <v>x</v>
      </c>
      <c r="N112" s="53">
        <f t="shared" si="12"/>
        <v>0.95</v>
      </c>
      <c r="O112" s="54" t="str">
        <f t="shared" si="12"/>
        <v>x</v>
      </c>
      <c r="P112" s="53">
        <f t="shared" si="14"/>
        <v>0.6333333333333333</v>
      </c>
      <c r="Q112" s="54" t="str">
        <f t="shared" si="14"/>
        <v>x</v>
      </c>
    </row>
    <row r="113" spans="1:17" ht="15.75">
      <c r="A113" s="47" t="s">
        <v>137</v>
      </c>
      <c r="B113" s="55">
        <f>SUBTOTAL(9,B114:B116)</f>
        <v>220</v>
      </c>
      <c r="C113" s="55">
        <f aca="true" t="shared" si="20" ref="C113:K113">SUBTOTAL(9,C114:C116)</f>
        <v>0</v>
      </c>
      <c r="D113" s="55">
        <f t="shared" si="20"/>
        <v>617</v>
      </c>
      <c r="E113" s="55">
        <f t="shared" si="20"/>
        <v>0</v>
      </c>
      <c r="F113" s="55">
        <f t="shared" si="20"/>
        <v>551</v>
      </c>
      <c r="G113" s="55">
        <f t="shared" si="20"/>
        <v>0</v>
      </c>
      <c r="H113" s="55">
        <f t="shared" si="20"/>
        <v>206</v>
      </c>
      <c r="I113" s="55">
        <f t="shared" si="20"/>
        <v>0</v>
      </c>
      <c r="J113" s="55">
        <f t="shared" si="20"/>
        <v>186</v>
      </c>
      <c r="K113" s="55">
        <f t="shared" si="20"/>
        <v>0</v>
      </c>
      <c r="L113" s="49">
        <f t="shared" si="13"/>
        <v>2.674757281553398</v>
      </c>
      <c r="M113" s="49" t="str">
        <f t="shared" si="13"/>
        <v>x</v>
      </c>
      <c r="N113" s="49">
        <f t="shared" si="12"/>
        <v>0.8454545454545455</v>
      </c>
      <c r="O113" s="49" t="str">
        <f t="shared" si="12"/>
        <v>x</v>
      </c>
      <c r="P113" s="49">
        <f t="shared" si="14"/>
        <v>0.9029126213592233</v>
      </c>
      <c r="Q113" s="49" t="str">
        <f t="shared" si="14"/>
        <v>x</v>
      </c>
    </row>
    <row r="114" spans="1:17" ht="15.75">
      <c r="A114" s="50" t="s">
        <v>138</v>
      </c>
      <c r="B114" s="51">
        <v>59</v>
      </c>
      <c r="C114" s="52">
        <v>0</v>
      </c>
      <c r="D114" s="51">
        <v>204</v>
      </c>
      <c r="E114" s="52">
        <v>0</v>
      </c>
      <c r="F114" s="51">
        <v>192</v>
      </c>
      <c r="G114" s="52">
        <v>0</v>
      </c>
      <c r="H114" s="51">
        <v>69</v>
      </c>
      <c r="I114" s="52">
        <v>0</v>
      </c>
      <c r="J114" s="51">
        <v>63</v>
      </c>
      <c r="K114" s="52">
        <v>0</v>
      </c>
      <c r="L114" s="53">
        <f t="shared" si="13"/>
        <v>2.782608695652174</v>
      </c>
      <c r="M114" s="54" t="str">
        <f t="shared" si="13"/>
        <v>x</v>
      </c>
      <c r="N114" s="53">
        <f t="shared" si="12"/>
        <v>1.0677966101694916</v>
      </c>
      <c r="O114" s="54" t="str">
        <f t="shared" si="12"/>
        <v>x</v>
      </c>
      <c r="P114" s="53">
        <f t="shared" si="14"/>
        <v>0.9130434782608695</v>
      </c>
      <c r="Q114" s="54" t="str">
        <f t="shared" si="14"/>
        <v>x</v>
      </c>
    </row>
    <row r="115" spans="1:17" ht="15.75">
      <c r="A115" s="50" t="s">
        <v>139</v>
      </c>
      <c r="B115" s="51">
        <v>61</v>
      </c>
      <c r="C115" s="52">
        <v>0</v>
      </c>
      <c r="D115" s="51">
        <v>241</v>
      </c>
      <c r="E115" s="52">
        <v>0</v>
      </c>
      <c r="F115" s="51">
        <v>212</v>
      </c>
      <c r="G115" s="52">
        <v>0</v>
      </c>
      <c r="H115" s="51">
        <v>66</v>
      </c>
      <c r="I115" s="52">
        <v>0</v>
      </c>
      <c r="J115" s="51">
        <v>59</v>
      </c>
      <c r="K115" s="52">
        <v>0</v>
      </c>
      <c r="L115" s="53">
        <f t="shared" si="13"/>
        <v>3.212121212121212</v>
      </c>
      <c r="M115" s="54" t="str">
        <f t="shared" si="13"/>
        <v>x</v>
      </c>
      <c r="N115" s="53">
        <f t="shared" si="12"/>
        <v>0.9672131147540983</v>
      </c>
      <c r="O115" s="54" t="str">
        <f t="shared" si="12"/>
        <v>x</v>
      </c>
      <c r="P115" s="53">
        <f t="shared" si="14"/>
        <v>0.8939393939393939</v>
      </c>
      <c r="Q115" s="54" t="str">
        <f t="shared" si="14"/>
        <v>x</v>
      </c>
    </row>
    <row r="116" spans="1:17" ht="15.75">
      <c r="A116" s="50" t="s">
        <v>140</v>
      </c>
      <c r="B116" s="51">
        <v>100</v>
      </c>
      <c r="C116" s="52">
        <v>0</v>
      </c>
      <c r="D116" s="51">
        <v>172</v>
      </c>
      <c r="E116" s="52">
        <v>0</v>
      </c>
      <c r="F116" s="51">
        <v>147</v>
      </c>
      <c r="G116" s="52">
        <v>0</v>
      </c>
      <c r="H116" s="51">
        <v>71</v>
      </c>
      <c r="I116" s="52">
        <v>0</v>
      </c>
      <c r="J116" s="51">
        <v>64</v>
      </c>
      <c r="K116" s="52">
        <v>0</v>
      </c>
      <c r="L116" s="53">
        <f t="shared" si="13"/>
        <v>2.0704225352112675</v>
      </c>
      <c r="M116" s="54" t="str">
        <f t="shared" si="13"/>
        <v>x</v>
      </c>
      <c r="N116" s="53">
        <f t="shared" si="12"/>
        <v>0.64</v>
      </c>
      <c r="O116" s="54" t="str">
        <f t="shared" si="12"/>
        <v>x</v>
      </c>
      <c r="P116" s="53">
        <f t="shared" si="14"/>
        <v>0.9014084507042254</v>
      </c>
      <c r="Q116" s="54" t="str">
        <f t="shared" si="14"/>
        <v>x</v>
      </c>
    </row>
    <row r="117" spans="1:17" ht="15.75">
      <c r="A117" s="47" t="s">
        <v>141</v>
      </c>
      <c r="B117" s="56">
        <v>85</v>
      </c>
      <c r="C117" s="56">
        <v>0</v>
      </c>
      <c r="D117" s="56">
        <v>558</v>
      </c>
      <c r="E117" s="56">
        <v>0</v>
      </c>
      <c r="F117" s="56">
        <v>476</v>
      </c>
      <c r="G117" s="56">
        <v>0</v>
      </c>
      <c r="H117" s="56">
        <v>89</v>
      </c>
      <c r="I117" s="56">
        <v>0</v>
      </c>
      <c r="J117" s="56">
        <v>89</v>
      </c>
      <c r="K117" s="56">
        <v>0</v>
      </c>
      <c r="L117" s="49">
        <f t="shared" si="13"/>
        <v>5.348314606741573</v>
      </c>
      <c r="M117" s="49" t="str">
        <f t="shared" si="13"/>
        <v>x</v>
      </c>
      <c r="N117" s="49">
        <f t="shared" si="12"/>
        <v>1.0470588235294118</v>
      </c>
      <c r="O117" s="49" t="str">
        <f t="shared" si="12"/>
        <v>x</v>
      </c>
      <c r="P117" s="49">
        <f t="shared" si="14"/>
        <v>1</v>
      </c>
      <c r="Q117" s="49" t="str">
        <f t="shared" si="14"/>
        <v>x</v>
      </c>
    </row>
    <row r="118" spans="1:17" ht="15.75">
      <c r="A118" s="47" t="s">
        <v>177</v>
      </c>
      <c r="B118" s="55">
        <f>SUBTOTAL(9,B119:B121)</f>
        <v>140</v>
      </c>
      <c r="C118" s="55">
        <f aca="true" t="shared" si="21" ref="C118:K118">SUBTOTAL(9,C119:C121)</f>
        <v>0</v>
      </c>
      <c r="D118" s="55">
        <f t="shared" si="21"/>
        <v>527</v>
      </c>
      <c r="E118" s="55">
        <f t="shared" si="21"/>
        <v>0</v>
      </c>
      <c r="F118" s="55">
        <f t="shared" si="21"/>
        <v>409</v>
      </c>
      <c r="G118" s="55">
        <f t="shared" si="21"/>
        <v>0</v>
      </c>
      <c r="H118" s="55">
        <f t="shared" si="21"/>
        <v>145</v>
      </c>
      <c r="I118" s="55">
        <f t="shared" si="21"/>
        <v>0</v>
      </c>
      <c r="J118" s="55">
        <f t="shared" si="21"/>
        <v>123</v>
      </c>
      <c r="K118" s="55">
        <f t="shared" si="21"/>
        <v>0</v>
      </c>
      <c r="L118" s="49">
        <f t="shared" si="13"/>
        <v>2.820689655172414</v>
      </c>
      <c r="M118" s="49" t="str">
        <f t="shared" si="13"/>
        <v>x</v>
      </c>
      <c r="N118" s="49">
        <f t="shared" si="12"/>
        <v>0.8785714285714286</v>
      </c>
      <c r="O118" s="49" t="str">
        <f t="shared" si="12"/>
        <v>x</v>
      </c>
      <c r="P118" s="49">
        <f t="shared" si="14"/>
        <v>0.8482758620689655</v>
      </c>
      <c r="Q118" s="49" t="str">
        <f t="shared" si="14"/>
        <v>x</v>
      </c>
    </row>
    <row r="119" spans="1:17" ht="15.75">
      <c r="A119" s="50" t="s">
        <v>143</v>
      </c>
      <c r="B119" s="51">
        <v>50</v>
      </c>
      <c r="C119" s="52">
        <v>0</v>
      </c>
      <c r="D119" s="51">
        <v>176</v>
      </c>
      <c r="E119" s="52">
        <v>0</v>
      </c>
      <c r="F119" s="51">
        <v>153</v>
      </c>
      <c r="G119" s="52">
        <v>0</v>
      </c>
      <c r="H119" s="51">
        <v>52</v>
      </c>
      <c r="I119" s="52">
        <v>0</v>
      </c>
      <c r="J119" s="51">
        <v>49</v>
      </c>
      <c r="K119" s="52">
        <v>0</v>
      </c>
      <c r="L119" s="53">
        <f t="shared" si="13"/>
        <v>2.9423076923076925</v>
      </c>
      <c r="M119" s="54" t="str">
        <f t="shared" si="13"/>
        <v>x</v>
      </c>
      <c r="N119" s="53">
        <f t="shared" si="12"/>
        <v>0.98</v>
      </c>
      <c r="O119" s="54" t="str">
        <f t="shared" si="12"/>
        <v>x</v>
      </c>
      <c r="P119" s="53">
        <f t="shared" si="14"/>
        <v>0.9423076923076923</v>
      </c>
      <c r="Q119" s="54" t="str">
        <f t="shared" si="14"/>
        <v>x</v>
      </c>
    </row>
    <row r="120" spans="1:17" ht="15.75">
      <c r="A120" s="50" t="s">
        <v>144</v>
      </c>
      <c r="B120" s="51">
        <v>50</v>
      </c>
      <c r="C120" s="52">
        <v>0</v>
      </c>
      <c r="D120" s="51">
        <v>86</v>
      </c>
      <c r="E120" s="52">
        <v>0</v>
      </c>
      <c r="F120" s="51">
        <v>54</v>
      </c>
      <c r="G120" s="52">
        <v>0</v>
      </c>
      <c r="H120" s="51">
        <v>43</v>
      </c>
      <c r="I120" s="52">
        <v>0</v>
      </c>
      <c r="J120" s="51">
        <v>33</v>
      </c>
      <c r="K120" s="52">
        <v>0</v>
      </c>
      <c r="L120" s="53">
        <f t="shared" si="13"/>
        <v>1.255813953488372</v>
      </c>
      <c r="M120" s="54" t="str">
        <f t="shared" si="13"/>
        <v>x</v>
      </c>
      <c r="N120" s="53">
        <f t="shared" si="12"/>
        <v>0.66</v>
      </c>
      <c r="O120" s="54" t="str">
        <f t="shared" si="12"/>
        <v>x</v>
      </c>
      <c r="P120" s="53">
        <f t="shared" si="14"/>
        <v>0.7674418604651163</v>
      </c>
      <c r="Q120" s="54" t="str">
        <f t="shared" si="14"/>
        <v>x</v>
      </c>
    </row>
    <row r="121" spans="1:17" ht="15.75">
      <c r="A121" s="50" t="s">
        <v>145</v>
      </c>
      <c r="B121" s="51">
        <v>40</v>
      </c>
      <c r="C121" s="52">
        <v>0</v>
      </c>
      <c r="D121" s="51">
        <v>265</v>
      </c>
      <c r="E121" s="52">
        <v>0</v>
      </c>
      <c r="F121" s="51">
        <v>202</v>
      </c>
      <c r="G121" s="52">
        <v>0</v>
      </c>
      <c r="H121" s="51">
        <v>50</v>
      </c>
      <c r="I121" s="52">
        <v>0</v>
      </c>
      <c r="J121" s="51">
        <v>41</v>
      </c>
      <c r="K121" s="52">
        <v>0</v>
      </c>
      <c r="L121" s="53">
        <f t="shared" si="13"/>
        <v>4.04</v>
      </c>
      <c r="M121" s="54" t="str">
        <f t="shared" si="13"/>
        <v>x</v>
      </c>
      <c r="N121" s="53">
        <f t="shared" si="12"/>
        <v>1.025</v>
      </c>
      <c r="O121" s="54" t="str">
        <f t="shared" si="12"/>
        <v>x</v>
      </c>
      <c r="P121" s="53">
        <f t="shared" si="14"/>
        <v>0.82</v>
      </c>
      <c r="Q121" s="54" t="str">
        <f t="shared" si="14"/>
        <v>x</v>
      </c>
    </row>
    <row r="122" spans="1:17" ht="15.75">
      <c r="A122" s="47" t="s">
        <v>146</v>
      </c>
      <c r="B122" s="55">
        <f>SUBTOTAL(9,B123:B126)</f>
        <v>2350</v>
      </c>
      <c r="C122" s="55">
        <f aca="true" t="shared" si="22" ref="C122:K122">SUBTOTAL(9,C123:C126)</f>
        <v>2070</v>
      </c>
      <c r="D122" s="55">
        <f t="shared" si="22"/>
        <v>3228</v>
      </c>
      <c r="E122" s="55">
        <f t="shared" si="22"/>
        <v>2931</v>
      </c>
      <c r="F122" s="55">
        <f t="shared" si="22"/>
        <v>2970</v>
      </c>
      <c r="G122" s="55">
        <f t="shared" si="22"/>
        <v>2688</v>
      </c>
      <c r="H122" s="55">
        <f t="shared" si="22"/>
        <v>2192</v>
      </c>
      <c r="I122" s="55">
        <f t="shared" si="22"/>
        <v>2279</v>
      </c>
      <c r="J122" s="55">
        <f t="shared" si="22"/>
        <v>1392</v>
      </c>
      <c r="K122" s="55">
        <f t="shared" si="22"/>
        <v>2103</v>
      </c>
      <c r="L122" s="49">
        <f t="shared" si="13"/>
        <v>1.35492700729927</v>
      </c>
      <c r="M122" s="49">
        <f t="shared" si="13"/>
        <v>1.1794646774901272</v>
      </c>
      <c r="N122" s="49">
        <f t="shared" si="12"/>
        <v>0.5923404255319149</v>
      </c>
      <c r="O122" s="49">
        <f t="shared" si="12"/>
        <v>1.0159420289855072</v>
      </c>
      <c r="P122" s="49">
        <f t="shared" si="14"/>
        <v>0.635036496350365</v>
      </c>
      <c r="Q122" s="49">
        <f t="shared" si="14"/>
        <v>0.9227731461167179</v>
      </c>
    </row>
    <row r="123" spans="1:17" ht="15.75">
      <c r="A123" s="50" t="s">
        <v>99</v>
      </c>
      <c r="B123" s="51">
        <v>310</v>
      </c>
      <c r="C123" s="52">
        <v>445</v>
      </c>
      <c r="D123" s="51">
        <v>348</v>
      </c>
      <c r="E123" s="52">
        <v>788</v>
      </c>
      <c r="F123" s="51">
        <v>299</v>
      </c>
      <c r="G123" s="52">
        <v>701</v>
      </c>
      <c r="H123" s="51">
        <v>184</v>
      </c>
      <c r="I123" s="52">
        <v>443</v>
      </c>
      <c r="J123" s="51">
        <v>145</v>
      </c>
      <c r="K123" s="52">
        <v>419</v>
      </c>
      <c r="L123" s="53">
        <f t="shared" si="13"/>
        <v>1.625</v>
      </c>
      <c r="M123" s="54">
        <f t="shared" si="13"/>
        <v>1.582392776523702</v>
      </c>
      <c r="N123" s="53">
        <f t="shared" si="12"/>
        <v>0.46774193548387094</v>
      </c>
      <c r="O123" s="54">
        <f t="shared" si="12"/>
        <v>0.9415730337078652</v>
      </c>
      <c r="P123" s="53">
        <f t="shared" si="14"/>
        <v>0.7880434782608695</v>
      </c>
      <c r="Q123" s="54">
        <f t="shared" si="14"/>
        <v>0.945823927765237</v>
      </c>
    </row>
    <row r="124" spans="1:17" ht="15.75">
      <c r="A124" s="50" t="s">
        <v>83</v>
      </c>
      <c r="B124" s="51">
        <v>775</v>
      </c>
      <c r="C124" s="52">
        <v>0</v>
      </c>
      <c r="D124" s="51">
        <v>1321</v>
      </c>
      <c r="E124" s="52">
        <v>0</v>
      </c>
      <c r="F124" s="51">
        <v>1267</v>
      </c>
      <c r="G124" s="52">
        <v>0</v>
      </c>
      <c r="H124" s="51">
        <v>835</v>
      </c>
      <c r="I124" s="52">
        <v>0</v>
      </c>
      <c r="J124" s="51">
        <v>431</v>
      </c>
      <c r="K124" s="52">
        <v>0</v>
      </c>
      <c r="L124" s="53">
        <f t="shared" si="13"/>
        <v>1.5173652694610777</v>
      </c>
      <c r="M124" s="54" t="str">
        <f t="shared" si="13"/>
        <v>x</v>
      </c>
      <c r="N124" s="53">
        <f t="shared" si="12"/>
        <v>0.5561290322580645</v>
      </c>
      <c r="O124" s="54" t="str">
        <f t="shared" si="12"/>
        <v>x</v>
      </c>
      <c r="P124" s="53">
        <f t="shared" si="14"/>
        <v>0.5161676646706587</v>
      </c>
      <c r="Q124" s="54" t="str">
        <f t="shared" si="14"/>
        <v>x</v>
      </c>
    </row>
    <row r="125" spans="1:17" ht="15.75">
      <c r="A125" s="50" t="s">
        <v>75</v>
      </c>
      <c r="B125" s="51">
        <v>1000</v>
      </c>
      <c r="C125" s="52">
        <v>1200</v>
      </c>
      <c r="D125" s="51">
        <v>1307</v>
      </c>
      <c r="E125" s="52">
        <v>1738</v>
      </c>
      <c r="F125" s="51">
        <v>1216</v>
      </c>
      <c r="G125" s="52">
        <v>1609</v>
      </c>
      <c r="H125" s="51">
        <v>986</v>
      </c>
      <c r="I125" s="52">
        <v>1460</v>
      </c>
      <c r="J125" s="51">
        <v>703</v>
      </c>
      <c r="K125" s="52">
        <v>1332</v>
      </c>
      <c r="L125" s="53">
        <f t="shared" si="13"/>
        <v>1.2332657200811359</v>
      </c>
      <c r="M125" s="54">
        <f t="shared" si="13"/>
        <v>1.1020547945205479</v>
      </c>
      <c r="N125" s="53">
        <f t="shared" si="12"/>
        <v>0.703</v>
      </c>
      <c r="O125" s="54">
        <f t="shared" si="12"/>
        <v>1.11</v>
      </c>
      <c r="P125" s="53">
        <f t="shared" si="14"/>
        <v>0.7129817444219066</v>
      </c>
      <c r="Q125" s="54">
        <f t="shared" si="14"/>
        <v>0.9123287671232877</v>
      </c>
    </row>
    <row r="126" spans="1:17" ht="15.75">
      <c r="A126" s="50" t="s">
        <v>82</v>
      </c>
      <c r="B126" s="51">
        <v>265</v>
      </c>
      <c r="C126" s="52">
        <v>425</v>
      </c>
      <c r="D126" s="51">
        <v>252</v>
      </c>
      <c r="E126" s="52">
        <v>405</v>
      </c>
      <c r="F126" s="51">
        <v>188</v>
      </c>
      <c r="G126" s="52">
        <v>378</v>
      </c>
      <c r="H126" s="51">
        <v>187</v>
      </c>
      <c r="I126" s="52">
        <v>376</v>
      </c>
      <c r="J126" s="51">
        <v>113</v>
      </c>
      <c r="K126" s="52">
        <v>352</v>
      </c>
      <c r="L126" s="53">
        <f t="shared" si="13"/>
        <v>1.0053475935828877</v>
      </c>
      <c r="M126" s="54">
        <f t="shared" si="13"/>
        <v>1.0053191489361701</v>
      </c>
      <c r="N126" s="53">
        <f t="shared" si="12"/>
        <v>0.42641509433962266</v>
      </c>
      <c r="O126" s="54">
        <f t="shared" si="12"/>
        <v>0.8282352941176471</v>
      </c>
      <c r="P126" s="53">
        <f t="shared" si="14"/>
        <v>0.6042780748663101</v>
      </c>
      <c r="Q126" s="54">
        <f t="shared" si="14"/>
        <v>0.9361702127659575</v>
      </c>
    </row>
    <row r="127" spans="1:17" ht="15.75">
      <c r="A127" s="47" t="s">
        <v>147</v>
      </c>
      <c r="B127" s="55">
        <f>SUBTOTAL(9,B128:B130)</f>
        <v>550</v>
      </c>
      <c r="C127" s="55">
        <f aca="true" t="shared" si="23" ref="C127:K127">SUBTOTAL(9,C128:C130)</f>
        <v>420</v>
      </c>
      <c r="D127" s="55">
        <f t="shared" si="23"/>
        <v>789</v>
      </c>
      <c r="E127" s="55">
        <f t="shared" si="23"/>
        <v>625</v>
      </c>
      <c r="F127" s="55">
        <f t="shared" si="23"/>
        <v>616</v>
      </c>
      <c r="G127" s="55">
        <f t="shared" si="23"/>
        <v>567</v>
      </c>
      <c r="H127" s="55">
        <f t="shared" si="23"/>
        <v>567</v>
      </c>
      <c r="I127" s="55">
        <f t="shared" si="23"/>
        <v>530</v>
      </c>
      <c r="J127" s="55">
        <f t="shared" si="23"/>
        <v>364</v>
      </c>
      <c r="K127" s="55">
        <f t="shared" si="23"/>
        <v>502</v>
      </c>
      <c r="L127" s="49">
        <f t="shared" si="13"/>
        <v>1.0864197530864197</v>
      </c>
      <c r="M127" s="49">
        <f t="shared" si="13"/>
        <v>1.069811320754717</v>
      </c>
      <c r="N127" s="49">
        <f t="shared" si="12"/>
        <v>0.6618181818181819</v>
      </c>
      <c r="O127" s="49">
        <f t="shared" si="12"/>
        <v>1.1952380952380952</v>
      </c>
      <c r="P127" s="49">
        <f t="shared" si="14"/>
        <v>0.6419753086419753</v>
      </c>
      <c r="Q127" s="49">
        <f t="shared" si="14"/>
        <v>0.9471698113207547</v>
      </c>
    </row>
    <row r="128" spans="1:17" ht="15.75">
      <c r="A128" s="50" t="s">
        <v>75</v>
      </c>
      <c r="B128" s="51">
        <v>250</v>
      </c>
      <c r="C128" s="52">
        <v>200</v>
      </c>
      <c r="D128" s="51">
        <v>410</v>
      </c>
      <c r="E128" s="52">
        <v>302</v>
      </c>
      <c r="F128" s="51">
        <v>318</v>
      </c>
      <c r="G128" s="52">
        <v>269</v>
      </c>
      <c r="H128" s="51">
        <v>291</v>
      </c>
      <c r="I128" s="52">
        <v>249</v>
      </c>
      <c r="J128" s="51">
        <v>179</v>
      </c>
      <c r="K128" s="52">
        <v>232</v>
      </c>
      <c r="L128" s="53">
        <f t="shared" si="13"/>
        <v>1.092783505154639</v>
      </c>
      <c r="M128" s="54">
        <f t="shared" si="13"/>
        <v>1.0803212851405624</v>
      </c>
      <c r="N128" s="53">
        <f t="shared" si="12"/>
        <v>0.716</v>
      </c>
      <c r="O128" s="54">
        <f t="shared" si="12"/>
        <v>1.16</v>
      </c>
      <c r="P128" s="53">
        <f t="shared" si="14"/>
        <v>0.6151202749140894</v>
      </c>
      <c r="Q128" s="54">
        <f t="shared" si="14"/>
        <v>0.9317269076305221</v>
      </c>
    </row>
    <row r="129" spans="1:17" ht="15.75">
      <c r="A129" s="50" t="s">
        <v>95</v>
      </c>
      <c r="B129" s="51">
        <v>280</v>
      </c>
      <c r="C129" s="52">
        <v>200</v>
      </c>
      <c r="D129" s="51">
        <v>369</v>
      </c>
      <c r="E129" s="52">
        <v>320</v>
      </c>
      <c r="F129" s="51">
        <v>289</v>
      </c>
      <c r="G129" s="52">
        <v>295</v>
      </c>
      <c r="H129" s="51">
        <v>268</v>
      </c>
      <c r="I129" s="52">
        <v>278</v>
      </c>
      <c r="J129" s="51">
        <v>177</v>
      </c>
      <c r="K129" s="52">
        <v>267</v>
      </c>
      <c r="L129" s="53">
        <f t="shared" si="13"/>
        <v>1.078358208955224</v>
      </c>
      <c r="M129" s="54">
        <f t="shared" si="13"/>
        <v>1.0611510791366907</v>
      </c>
      <c r="N129" s="53">
        <f t="shared" si="12"/>
        <v>0.6321428571428571</v>
      </c>
      <c r="O129" s="54">
        <f t="shared" si="12"/>
        <v>1.335</v>
      </c>
      <c r="P129" s="53">
        <f t="shared" si="14"/>
        <v>0.6604477611940298</v>
      </c>
      <c r="Q129" s="54">
        <f t="shared" si="14"/>
        <v>0.960431654676259</v>
      </c>
    </row>
    <row r="130" spans="1:17" ht="15.75">
      <c r="A130" s="50" t="s">
        <v>148</v>
      </c>
      <c r="B130" s="51">
        <v>20</v>
      </c>
      <c r="C130" s="52">
        <v>20</v>
      </c>
      <c r="D130" s="51">
        <v>10</v>
      </c>
      <c r="E130" s="52">
        <v>3</v>
      </c>
      <c r="F130" s="51">
        <v>9</v>
      </c>
      <c r="G130" s="52">
        <v>3</v>
      </c>
      <c r="H130" s="51">
        <v>8</v>
      </c>
      <c r="I130" s="52">
        <v>3</v>
      </c>
      <c r="J130" s="51">
        <v>8</v>
      </c>
      <c r="K130" s="52">
        <v>3</v>
      </c>
      <c r="L130" s="53">
        <f t="shared" si="13"/>
        <v>1.125</v>
      </c>
      <c r="M130" s="54">
        <f t="shared" si="13"/>
        <v>1</v>
      </c>
      <c r="N130" s="53">
        <f aca="true" t="shared" si="24" ref="N130:O145">IF(ISERROR(J130/B130),"x",J130/B130)</f>
        <v>0.4</v>
      </c>
      <c r="O130" s="54">
        <f t="shared" si="24"/>
        <v>0.15</v>
      </c>
      <c r="P130" s="53">
        <f t="shared" si="14"/>
        <v>1</v>
      </c>
      <c r="Q130" s="54">
        <f t="shared" si="14"/>
        <v>1</v>
      </c>
    </row>
    <row r="131" spans="1:17" ht="15.75">
      <c r="A131" s="57" t="s">
        <v>188</v>
      </c>
      <c r="B131" s="58">
        <f aca="true" t="shared" si="25" ref="B131:K131">SUBTOTAL(9,B4:B130)</f>
        <v>46093</v>
      </c>
      <c r="C131" s="58">
        <f t="shared" si="25"/>
        <v>17746</v>
      </c>
      <c r="D131" s="58">
        <f t="shared" si="25"/>
        <v>113230</v>
      </c>
      <c r="E131" s="58">
        <f t="shared" si="25"/>
        <v>34361</v>
      </c>
      <c r="F131" s="58">
        <f t="shared" si="25"/>
        <v>99936</v>
      </c>
      <c r="G131" s="58">
        <f t="shared" si="25"/>
        <v>29730</v>
      </c>
      <c r="H131" s="58">
        <f t="shared" si="25"/>
        <v>59231</v>
      </c>
      <c r="I131" s="58">
        <f t="shared" si="25"/>
        <v>21297</v>
      </c>
      <c r="J131" s="58">
        <f t="shared" si="25"/>
        <v>36776</v>
      </c>
      <c r="K131" s="58">
        <f t="shared" si="25"/>
        <v>16941</v>
      </c>
      <c r="L131" s="59">
        <f aca="true" t="shared" si="26" ref="L131:M146">IF(ISERROR(F131/H131),"x",F131/H131)</f>
        <v>1.6872245952288498</v>
      </c>
      <c r="M131" s="59">
        <f t="shared" si="26"/>
        <v>1.3959712635582477</v>
      </c>
      <c r="N131" s="59">
        <f t="shared" si="24"/>
        <v>0.79786518560302</v>
      </c>
      <c r="O131" s="59">
        <f t="shared" si="24"/>
        <v>0.9546376648258763</v>
      </c>
      <c r="P131" s="59">
        <f aca="true" t="shared" si="27" ref="P131:Q146">IF(ISERROR(J131/H131),"x",J131/H131)</f>
        <v>0.6208910874373217</v>
      </c>
      <c r="Q131" s="59">
        <f t="shared" si="27"/>
        <v>0.7954641498802648</v>
      </c>
    </row>
    <row r="132" spans="1:17" ht="15.75">
      <c r="A132" s="47" t="s">
        <v>149</v>
      </c>
      <c r="B132" s="55">
        <v>217</v>
      </c>
      <c r="C132" s="55">
        <v>128</v>
      </c>
      <c r="D132" s="55">
        <v>397</v>
      </c>
      <c r="E132" s="55">
        <v>120</v>
      </c>
      <c r="F132" s="55">
        <v>393</v>
      </c>
      <c r="G132" s="55">
        <v>119</v>
      </c>
      <c r="H132" s="55">
        <v>331</v>
      </c>
      <c r="I132" s="55">
        <v>124</v>
      </c>
      <c r="J132" s="55">
        <v>246</v>
      </c>
      <c r="K132" s="55">
        <v>86</v>
      </c>
      <c r="L132" s="49">
        <f t="shared" si="26"/>
        <v>1.1873111782477341</v>
      </c>
      <c r="M132" s="49">
        <f t="shared" si="26"/>
        <v>0.9596774193548387</v>
      </c>
      <c r="N132" s="49">
        <f t="shared" si="24"/>
        <v>1.1336405529953917</v>
      </c>
      <c r="O132" s="49">
        <f t="shared" si="24"/>
        <v>0.671875</v>
      </c>
      <c r="P132" s="49">
        <f t="shared" si="27"/>
        <v>0.743202416918429</v>
      </c>
      <c r="Q132" s="49">
        <f t="shared" si="27"/>
        <v>0.6935483870967742</v>
      </c>
    </row>
    <row r="133" spans="1:17" ht="15.75">
      <c r="A133" s="47" t="s">
        <v>150</v>
      </c>
      <c r="B133" s="55">
        <f aca="true" t="shared" si="28" ref="B133:K133">SUBTOTAL(9,B134:B136)</f>
        <v>40</v>
      </c>
      <c r="C133" s="55">
        <f t="shared" si="28"/>
        <v>2080</v>
      </c>
      <c r="D133" s="55">
        <f t="shared" si="28"/>
        <v>0</v>
      </c>
      <c r="E133" s="55">
        <f t="shared" si="28"/>
        <v>2654</v>
      </c>
      <c r="F133" s="55">
        <f t="shared" si="28"/>
        <v>0</v>
      </c>
      <c r="G133" s="55">
        <f t="shared" si="28"/>
        <v>2544</v>
      </c>
      <c r="H133" s="55">
        <f t="shared" si="28"/>
        <v>0</v>
      </c>
      <c r="I133" s="55">
        <f t="shared" si="28"/>
        <v>2376</v>
      </c>
      <c r="J133" s="55">
        <f t="shared" si="28"/>
        <v>0</v>
      </c>
      <c r="K133" s="55">
        <f t="shared" si="28"/>
        <v>2248</v>
      </c>
      <c r="L133" s="49" t="str">
        <f t="shared" si="26"/>
        <v>x</v>
      </c>
      <c r="M133" s="49">
        <f t="shared" si="26"/>
        <v>1.0707070707070707</v>
      </c>
      <c r="N133" s="49">
        <f t="shared" si="24"/>
        <v>0</v>
      </c>
      <c r="O133" s="49">
        <f t="shared" si="24"/>
        <v>1.0807692307692307</v>
      </c>
      <c r="P133" s="49" t="str">
        <f t="shared" si="27"/>
        <v>x</v>
      </c>
      <c r="Q133" s="49">
        <f t="shared" si="27"/>
        <v>0.9461279461279462</v>
      </c>
    </row>
    <row r="134" spans="1:17" ht="15.75">
      <c r="A134" s="38" t="s">
        <v>269</v>
      </c>
      <c r="B134" s="51">
        <v>40</v>
      </c>
      <c r="C134" s="52">
        <v>1840</v>
      </c>
      <c r="D134" s="51">
        <v>0</v>
      </c>
      <c r="E134" s="52">
        <v>2330</v>
      </c>
      <c r="F134" s="51">
        <v>0</v>
      </c>
      <c r="G134" s="52">
        <v>2221</v>
      </c>
      <c r="H134" s="51">
        <v>0</v>
      </c>
      <c r="I134" s="52">
        <v>2056</v>
      </c>
      <c r="J134" s="51">
        <v>0</v>
      </c>
      <c r="K134" s="52">
        <v>1949</v>
      </c>
      <c r="L134" s="53" t="str">
        <f t="shared" si="26"/>
        <v>x</v>
      </c>
      <c r="M134" s="54">
        <f t="shared" si="26"/>
        <v>1.0802529182879377</v>
      </c>
      <c r="N134" s="53">
        <f t="shared" si="24"/>
        <v>0</v>
      </c>
      <c r="O134" s="54">
        <f t="shared" si="24"/>
        <v>1.0592391304347826</v>
      </c>
      <c r="P134" s="53" t="str">
        <f t="shared" si="27"/>
        <v>x</v>
      </c>
      <c r="Q134" s="54">
        <f t="shared" si="27"/>
        <v>0.9479571984435797</v>
      </c>
    </row>
    <row r="135" spans="1:17" ht="15.75">
      <c r="A135" s="38" t="s">
        <v>248</v>
      </c>
      <c r="B135" s="51">
        <v>0</v>
      </c>
      <c r="C135" s="52">
        <v>200</v>
      </c>
      <c r="D135" s="51">
        <v>0</v>
      </c>
      <c r="E135" s="52">
        <v>222</v>
      </c>
      <c r="F135" s="51">
        <v>0</v>
      </c>
      <c r="G135" s="52">
        <v>221</v>
      </c>
      <c r="H135" s="51">
        <v>0</v>
      </c>
      <c r="I135" s="52">
        <v>219</v>
      </c>
      <c r="J135" s="51">
        <v>0</v>
      </c>
      <c r="K135" s="52">
        <v>219</v>
      </c>
      <c r="L135" s="53" t="str">
        <f t="shared" si="26"/>
        <v>x</v>
      </c>
      <c r="M135" s="54">
        <f t="shared" si="26"/>
        <v>1.0091324200913243</v>
      </c>
      <c r="N135" s="53" t="str">
        <f t="shared" si="24"/>
        <v>x</v>
      </c>
      <c r="O135" s="54">
        <f t="shared" si="24"/>
        <v>1.095</v>
      </c>
      <c r="P135" s="53" t="str">
        <f t="shared" si="27"/>
        <v>x</v>
      </c>
      <c r="Q135" s="54">
        <f t="shared" si="27"/>
        <v>1</v>
      </c>
    </row>
    <row r="136" spans="1:17" ht="15.75">
      <c r="A136" s="38" t="s">
        <v>282</v>
      </c>
      <c r="B136" s="51">
        <v>0</v>
      </c>
      <c r="C136" s="52">
        <v>40</v>
      </c>
      <c r="D136" s="51">
        <v>0</v>
      </c>
      <c r="E136" s="52">
        <v>102</v>
      </c>
      <c r="F136" s="51">
        <v>0</v>
      </c>
      <c r="G136" s="52">
        <v>102</v>
      </c>
      <c r="H136" s="51">
        <v>0</v>
      </c>
      <c r="I136" s="52">
        <v>101</v>
      </c>
      <c r="J136" s="51">
        <v>0</v>
      </c>
      <c r="K136" s="52">
        <v>80</v>
      </c>
      <c r="L136" s="53" t="str">
        <f t="shared" si="26"/>
        <v>x</v>
      </c>
      <c r="M136" s="54">
        <f t="shared" si="26"/>
        <v>1.00990099009901</v>
      </c>
      <c r="N136" s="53" t="str">
        <f t="shared" si="24"/>
        <v>x</v>
      </c>
      <c r="O136" s="54">
        <f t="shared" si="24"/>
        <v>2</v>
      </c>
      <c r="P136" s="53" t="str">
        <f t="shared" si="27"/>
        <v>x</v>
      </c>
      <c r="Q136" s="54">
        <f t="shared" si="27"/>
        <v>0.7920792079207921</v>
      </c>
    </row>
    <row r="137" spans="1:17" ht="15.75">
      <c r="A137" s="47" t="s">
        <v>151</v>
      </c>
      <c r="B137" s="55">
        <v>0</v>
      </c>
      <c r="C137" s="55">
        <v>0</v>
      </c>
      <c r="D137" s="55">
        <v>225</v>
      </c>
      <c r="E137" s="55">
        <v>1622</v>
      </c>
      <c r="F137" s="55">
        <v>224</v>
      </c>
      <c r="G137" s="55">
        <v>1617</v>
      </c>
      <c r="H137" s="55">
        <v>213</v>
      </c>
      <c r="I137" s="55">
        <v>1533</v>
      </c>
      <c r="J137" s="55">
        <v>116</v>
      </c>
      <c r="K137" s="55">
        <v>1088</v>
      </c>
      <c r="L137" s="49">
        <f t="shared" si="26"/>
        <v>1.051643192488263</v>
      </c>
      <c r="M137" s="49">
        <f t="shared" si="26"/>
        <v>1.0547945205479452</v>
      </c>
      <c r="N137" s="49" t="str">
        <f t="shared" si="24"/>
        <v>x</v>
      </c>
      <c r="O137" s="49" t="str">
        <f t="shared" si="24"/>
        <v>x</v>
      </c>
      <c r="P137" s="49">
        <f t="shared" si="27"/>
        <v>0.5446009389671361</v>
      </c>
      <c r="Q137" s="49">
        <f t="shared" si="27"/>
        <v>0.7097195042400521</v>
      </c>
    </row>
    <row r="138" spans="1:17" ht="15.75">
      <c r="A138" s="47" t="s">
        <v>152</v>
      </c>
      <c r="B138" s="55">
        <f>SUBTOTAL(9,B139:B140)</f>
        <v>300</v>
      </c>
      <c r="C138" s="55">
        <f aca="true" t="shared" si="29" ref="C138:K138">SUBTOTAL(9,C139:C140)</f>
        <v>420</v>
      </c>
      <c r="D138" s="55">
        <f t="shared" si="29"/>
        <v>785</v>
      </c>
      <c r="E138" s="55">
        <f t="shared" si="29"/>
        <v>649</v>
      </c>
      <c r="F138" s="55">
        <f t="shared" si="29"/>
        <v>445</v>
      </c>
      <c r="G138" s="55">
        <f t="shared" si="29"/>
        <v>500</v>
      </c>
      <c r="H138" s="55">
        <f t="shared" si="29"/>
        <v>369</v>
      </c>
      <c r="I138" s="55">
        <f t="shared" si="29"/>
        <v>471</v>
      </c>
      <c r="J138" s="55">
        <f t="shared" si="29"/>
        <v>265</v>
      </c>
      <c r="K138" s="55">
        <f t="shared" si="29"/>
        <v>371</v>
      </c>
      <c r="L138" s="49">
        <f t="shared" si="26"/>
        <v>1.2059620596205962</v>
      </c>
      <c r="M138" s="49">
        <f t="shared" si="26"/>
        <v>1.0615711252653928</v>
      </c>
      <c r="N138" s="49">
        <f t="shared" si="24"/>
        <v>0.8833333333333333</v>
      </c>
      <c r="O138" s="49">
        <f t="shared" si="24"/>
        <v>0.8833333333333333</v>
      </c>
      <c r="P138" s="49">
        <f t="shared" si="27"/>
        <v>0.7181571815718157</v>
      </c>
      <c r="Q138" s="49">
        <f t="shared" si="27"/>
        <v>0.7876857749469215</v>
      </c>
    </row>
    <row r="139" spans="1:17" ht="15.75">
      <c r="A139" s="38" t="s">
        <v>249</v>
      </c>
      <c r="B139" s="51">
        <v>180</v>
      </c>
      <c r="C139" s="52">
        <v>340</v>
      </c>
      <c r="D139" s="51">
        <v>591</v>
      </c>
      <c r="E139" s="52">
        <v>581</v>
      </c>
      <c r="F139" s="51">
        <v>309</v>
      </c>
      <c r="G139" s="52">
        <v>453</v>
      </c>
      <c r="H139" s="51">
        <v>233</v>
      </c>
      <c r="I139" s="52">
        <v>424</v>
      </c>
      <c r="J139" s="51">
        <v>183</v>
      </c>
      <c r="K139" s="52">
        <v>338</v>
      </c>
      <c r="L139" s="53">
        <f t="shared" si="26"/>
        <v>1.3261802575107295</v>
      </c>
      <c r="M139" s="54">
        <f t="shared" si="26"/>
        <v>1.0683962264150944</v>
      </c>
      <c r="N139" s="53">
        <f t="shared" si="24"/>
        <v>1.0166666666666666</v>
      </c>
      <c r="O139" s="54">
        <f t="shared" si="24"/>
        <v>0.9941176470588236</v>
      </c>
      <c r="P139" s="53">
        <f t="shared" si="27"/>
        <v>0.7854077253218884</v>
      </c>
      <c r="Q139" s="54">
        <f t="shared" si="27"/>
        <v>0.7971698113207547</v>
      </c>
    </row>
    <row r="140" spans="1:17" ht="15.75">
      <c r="A140" s="38" t="s">
        <v>250</v>
      </c>
      <c r="B140" s="51">
        <v>120</v>
      </c>
      <c r="C140" s="52">
        <v>80</v>
      </c>
      <c r="D140" s="51">
        <v>194</v>
      </c>
      <c r="E140" s="52">
        <v>68</v>
      </c>
      <c r="F140" s="51">
        <v>136</v>
      </c>
      <c r="G140" s="52">
        <v>47</v>
      </c>
      <c r="H140" s="51">
        <v>136</v>
      </c>
      <c r="I140" s="52">
        <v>47</v>
      </c>
      <c r="J140" s="51">
        <v>82</v>
      </c>
      <c r="K140" s="52">
        <v>33</v>
      </c>
      <c r="L140" s="53">
        <f t="shared" si="26"/>
        <v>1</v>
      </c>
      <c r="M140" s="54">
        <f t="shared" si="26"/>
        <v>1</v>
      </c>
      <c r="N140" s="53">
        <f t="shared" si="24"/>
        <v>0.6833333333333333</v>
      </c>
      <c r="O140" s="54">
        <f t="shared" si="24"/>
        <v>0.4125</v>
      </c>
      <c r="P140" s="53">
        <f t="shared" si="27"/>
        <v>0.6029411764705882</v>
      </c>
      <c r="Q140" s="54">
        <f t="shared" si="27"/>
        <v>0.7021276595744681</v>
      </c>
    </row>
    <row r="141" spans="1:17" ht="15.75">
      <c r="A141" s="47" t="s">
        <v>194</v>
      </c>
      <c r="B141" s="55">
        <f>SUBTOTAL(9,B142:B143)</f>
        <v>300</v>
      </c>
      <c r="C141" s="55">
        <f aca="true" t="shared" si="30" ref="C141:K141">SUBTOTAL(9,C142:C143)</f>
        <v>500</v>
      </c>
      <c r="D141" s="55">
        <f t="shared" si="30"/>
        <v>120</v>
      </c>
      <c r="E141" s="55">
        <f t="shared" si="30"/>
        <v>917</v>
      </c>
      <c r="F141" s="55">
        <f t="shared" si="30"/>
        <v>119</v>
      </c>
      <c r="G141" s="55">
        <f t="shared" si="30"/>
        <v>738</v>
      </c>
      <c r="H141" s="55">
        <f t="shared" si="30"/>
        <v>117</v>
      </c>
      <c r="I141" s="55">
        <f t="shared" si="30"/>
        <v>739</v>
      </c>
      <c r="J141" s="55">
        <f t="shared" si="30"/>
        <v>102</v>
      </c>
      <c r="K141" s="55">
        <f t="shared" si="30"/>
        <v>627</v>
      </c>
      <c r="L141" s="49">
        <f t="shared" si="26"/>
        <v>1.017094017094017</v>
      </c>
      <c r="M141" s="49">
        <f t="shared" si="26"/>
        <v>0.9986468200270636</v>
      </c>
      <c r="N141" s="49">
        <f t="shared" si="24"/>
        <v>0.34</v>
      </c>
      <c r="O141" s="49">
        <f t="shared" si="24"/>
        <v>1.254</v>
      </c>
      <c r="P141" s="49">
        <f t="shared" si="27"/>
        <v>0.8717948717948718</v>
      </c>
      <c r="Q141" s="49">
        <f t="shared" si="27"/>
        <v>0.8484438430311232</v>
      </c>
    </row>
    <row r="142" spans="1:17" ht="15.75">
      <c r="A142" s="38" t="s">
        <v>251</v>
      </c>
      <c r="B142" s="51">
        <v>200</v>
      </c>
      <c r="C142" s="52">
        <v>100</v>
      </c>
      <c r="D142" s="51">
        <v>98</v>
      </c>
      <c r="E142" s="52">
        <v>297</v>
      </c>
      <c r="F142" s="51">
        <v>97</v>
      </c>
      <c r="G142" s="52">
        <v>225</v>
      </c>
      <c r="H142" s="51">
        <v>96</v>
      </c>
      <c r="I142" s="52">
        <v>225</v>
      </c>
      <c r="J142" s="51">
        <v>81</v>
      </c>
      <c r="K142" s="52">
        <v>214</v>
      </c>
      <c r="L142" s="53">
        <f t="shared" si="26"/>
        <v>1.0104166666666667</v>
      </c>
      <c r="M142" s="54">
        <f t="shared" si="26"/>
        <v>1</v>
      </c>
      <c r="N142" s="53">
        <f t="shared" si="24"/>
        <v>0.405</v>
      </c>
      <c r="O142" s="54">
        <f t="shared" si="24"/>
        <v>2.14</v>
      </c>
      <c r="P142" s="53">
        <f t="shared" si="27"/>
        <v>0.84375</v>
      </c>
      <c r="Q142" s="54">
        <f t="shared" si="27"/>
        <v>0.9511111111111111</v>
      </c>
    </row>
    <row r="143" spans="1:17" ht="15.75">
      <c r="A143" s="38" t="s">
        <v>252</v>
      </c>
      <c r="B143" s="51">
        <v>100</v>
      </c>
      <c r="C143" s="52">
        <v>400</v>
      </c>
      <c r="D143" s="51">
        <v>22</v>
      </c>
      <c r="E143" s="52">
        <v>620</v>
      </c>
      <c r="F143" s="51">
        <v>22</v>
      </c>
      <c r="G143" s="52">
        <v>513</v>
      </c>
      <c r="H143" s="51">
        <v>21</v>
      </c>
      <c r="I143" s="52">
        <v>514</v>
      </c>
      <c r="J143" s="51">
        <v>21</v>
      </c>
      <c r="K143" s="52">
        <v>413</v>
      </c>
      <c r="L143" s="53">
        <f t="shared" si="26"/>
        <v>1.0476190476190477</v>
      </c>
      <c r="M143" s="54">
        <f t="shared" si="26"/>
        <v>0.9980544747081712</v>
      </c>
      <c r="N143" s="53">
        <f t="shared" si="24"/>
        <v>0.21</v>
      </c>
      <c r="O143" s="54">
        <f t="shared" si="24"/>
        <v>1.0325</v>
      </c>
      <c r="P143" s="53">
        <f t="shared" si="27"/>
        <v>1</v>
      </c>
      <c r="Q143" s="54">
        <f t="shared" si="27"/>
        <v>0.8035019455252919</v>
      </c>
    </row>
    <row r="144" spans="1:17" ht="15.75">
      <c r="A144" s="47" t="s">
        <v>195</v>
      </c>
      <c r="B144" s="55">
        <v>80</v>
      </c>
      <c r="C144" s="55">
        <v>80</v>
      </c>
      <c r="D144" s="55">
        <v>145</v>
      </c>
      <c r="E144" s="55">
        <v>128</v>
      </c>
      <c r="F144" s="55">
        <v>145</v>
      </c>
      <c r="G144" s="55">
        <v>128</v>
      </c>
      <c r="H144" s="55">
        <v>140</v>
      </c>
      <c r="I144" s="55">
        <v>127</v>
      </c>
      <c r="J144" s="55">
        <v>89</v>
      </c>
      <c r="K144" s="55">
        <v>102</v>
      </c>
      <c r="L144" s="49">
        <f t="shared" si="26"/>
        <v>1.0357142857142858</v>
      </c>
      <c r="M144" s="49">
        <f t="shared" si="26"/>
        <v>1.0078740157480315</v>
      </c>
      <c r="N144" s="49">
        <f t="shared" si="24"/>
        <v>1.1125</v>
      </c>
      <c r="O144" s="49">
        <f t="shared" si="24"/>
        <v>1.275</v>
      </c>
      <c r="P144" s="49">
        <f t="shared" si="27"/>
        <v>0.6357142857142857</v>
      </c>
      <c r="Q144" s="49">
        <f t="shared" si="27"/>
        <v>0.8031496062992126</v>
      </c>
    </row>
    <row r="145" spans="1:17" ht="15.75">
      <c r="A145" s="47" t="s">
        <v>253</v>
      </c>
      <c r="B145" s="55">
        <v>200</v>
      </c>
      <c r="C145" s="55">
        <v>80</v>
      </c>
      <c r="D145" s="55">
        <v>147</v>
      </c>
      <c r="E145" s="55">
        <v>253</v>
      </c>
      <c r="F145" s="55">
        <v>147</v>
      </c>
      <c r="G145" s="55">
        <v>253</v>
      </c>
      <c r="H145" s="55">
        <v>147</v>
      </c>
      <c r="I145" s="55">
        <v>253</v>
      </c>
      <c r="J145" s="55">
        <v>91</v>
      </c>
      <c r="K145" s="55">
        <v>195</v>
      </c>
      <c r="L145" s="49">
        <f t="shared" si="26"/>
        <v>1</v>
      </c>
      <c r="M145" s="49">
        <f t="shared" si="26"/>
        <v>1</v>
      </c>
      <c r="N145" s="49">
        <f t="shared" si="24"/>
        <v>0.455</v>
      </c>
      <c r="O145" s="49">
        <f t="shared" si="24"/>
        <v>2.4375</v>
      </c>
      <c r="P145" s="49">
        <f t="shared" si="27"/>
        <v>0.6190476190476191</v>
      </c>
      <c r="Q145" s="49">
        <f t="shared" si="27"/>
        <v>0.7707509881422925</v>
      </c>
    </row>
    <row r="146" spans="1:17" ht="15.75">
      <c r="A146" s="47" t="s">
        <v>254</v>
      </c>
      <c r="B146" s="55">
        <v>0</v>
      </c>
      <c r="C146" s="55">
        <v>0</v>
      </c>
      <c r="D146" s="55">
        <v>0</v>
      </c>
      <c r="E146" s="55">
        <v>1094</v>
      </c>
      <c r="F146" s="55">
        <v>0</v>
      </c>
      <c r="G146" s="55">
        <v>1094</v>
      </c>
      <c r="H146" s="55">
        <v>0</v>
      </c>
      <c r="I146" s="55">
        <v>1094</v>
      </c>
      <c r="J146" s="55">
        <v>0</v>
      </c>
      <c r="K146" s="55">
        <v>1046</v>
      </c>
      <c r="L146" s="49" t="str">
        <f t="shared" si="26"/>
        <v>x</v>
      </c>
      <c r="M146" s="49">
        <f t="shared" si="26"/>
        <v>1</v>
      </c>
      <c r="N146" s="49" t="str">
        <f aca="true" t="shared" si="31" ref="N146:O150">IF(ISERROR(J146/B146),"x",J146/B146)</f>
        <v>x</v>
      </c>
      <c r="O146" s="49" t="str">
        <f t="shared" si="31"/>
        <v>x</v>
      </c>
      <c r="P146" s="49" t="str">
        <f t="shared" si="27"/>
        <v>x</v>
      </c>
      <c r="Q146" s="49">
        <f t="shared" si="27"/>
        <v>0.9561243144424132</v>
      </c>
    </row>
    <row r="147" spans="1:17" ht="15.75">
      <c r="A147" s="47" t="s">
        <v>255</v>
      </c>
      <c r="B147" s="55">
        <v>30</v>
      </c>
      <c r="C147" s="55">
        <v>0</v>
      </c>
      <c r="D147" s="55">
        <v>22</v>
      </c>
      <c r="E147" s="55">
        <v>0</v>
      </c>
      <c r="F147" s="55">
        <v>19</v>
      </c>
      <c r="G147" s="55">
        <v>0</v>
      </c>
      <c r="H147" s="55">
        <v>16</v>
      </c>
      <c r="I147" s="55">
        <v>0</v>
      </c>
      <c r="J147" s="55">
        <v>14</v>
      </c>
      <c r="K147" s="55">
        <v>0</v>
      </c>
      <c r="L147" s="49">
        <f aca="true" t="shared" si="32" ref="L147:M150">IF(ISERROR(F147/H147),"x",F147/H147)</f>
        <v>1.1875</v>
      </c>
      <c r="M147" s="49" t="str">
        <f t="shared" si="32"/>
        <v>x</v>
      </c>
      <c r="N147" s="49">
        <f t="shared" si="31"/>
        <v>0.4666666666666667</v>
      </c>
      <c r="O147" s="49" t="str">
        <f t="shared" si="31"/>
        <v>x</v>
      </c>
      <c r="P147" s="49">
        <f aca="true" t="shared" si="33" ref="P147:Q150">IF(ISERROR(J147/H147),"x",J147/H147)</f>
        <v>0.875</v>
      </c>
      <c r="Q147" s="49" t="str">
        <f t="shared" si="33"/>
        <v>x</v>
      </c>
    </row>
    <row r="148" spans="1:17" ht="15.75">
      <c r="A148" s="47" t="s">
        <v>256</v>
      </c>
      <c r="B148" s="55">
        <v>0</v>
      </c>
      <c r="C148" s="55">
        <v>0</v>
      </c>
      <c r="D148" s="55">
        <v>174</v>
      </c>
      <c r="E148" s="55">
        <v>247</v>
      </c>
      <c r="F148" s="55">
        <v>158</v>
      </c>
      <c r="G148" s="55">
        <v>233</v>
      </c>
      <c r="H148" s="55">
        <v>148</v>
      </c>
      <c r="I148" s="55">
        <v>216</v>
      </c>
      <c r="J148" s="55">
        <v>148</v>
      </c>
      <c r="K148" s="55">
        <v>216</v>
      </c>
      <c r="L148" s="49">
        <f t="shared" si="32"/>
        <v>1.0675675675675675</v>
      </c>
      <c r="M148" s="49">
        <f t="shared" si="32"/>
        <v>1.0787037037037037</v>
      </c>
      <c r="N148" s="49" t="str">
        <f t="shared" si="31"/>
        <v>x</v>
      </c>
      <c r="O148" s="49" t="str">
        <f t="shared" si="31"/>
        <v>x</v>
      </c>
      <c r="P148" s="49">
        <f t="shared" si="33"/>
        <v>1</v>
      </c>
      <c r="Q148" s="49">
        <f t="shared" si="33"/>
        <v>1</v>
      </c>
    </row>
    <row r="149" spans="1:17" ht="15.75">
      <c r="A149" s="57" t="s">
        <v>189</v>
      </c>
      <c r="B149" s="58">
        <f>SUBTOTAL(9,B132:B148)</f>
        <v>1167</v>
      </c>
      <c r="C149" s="58">
        <f aca="true" t="shared" si="34" ref="C149:K149">SUBTOTAL(9,C132:C148)</f>
        <v>3288</v>
      </c>
      <c r="D149" s="58">
        <f t="shared" si="34"/>
        <v>2015</v>
      </c>
      <c r="E149" s="58">
        <f t="shared" si="34"/>
        <v>7684</v>
      </c>
      <c r="F149" s="58">
        <f t="shared" si="34"/>
        <v>1650</v>
      </c>
      <c r="G149" s="58">
        <f t="shared" si="34"/>
        <v>7226</v>
      </c>
      <c r="H149" s="58">
        <f t="shared" si="34"/>
        <v>1481</v>
      </c>
      <c r="I149" s="58">
        <f t="shared" si="34"/>
        <v>6933</v>
      </c>
      <c r="J149" s="58">
        <f t="shared" si="34"/>
        <v>1071</v>
      </c>
      <c r="K149" s="58">
        <f t="shared" si="34"/>
        <v>5979</v>
      </c>
      <c r="L149" s="59">
        <f t="shared" si="32"/>
        <v>1.1141120864280891</v>
      </c>
      <c r="M149" s="59">
        <f t="shared" si="32"/>
        <v>1.0422616471945767</v>
      </c>
      <c r="N149" s="59">
        <f t="shared" si="31"/>
        <v>0.9177377892030848</v>
      </c>
      <c r="O149" s="59">
        <f t="shared" si="31"/>
        <v>1.8184306569343065</v>
      </c>
      <c r="P149" s="59">
        <f t="shared" si="33"/>
        <v>0.7231600270087779</v>
      </c>
      <c r="Q149" s="59">
        <f t="shared" si="33"/>
        <v>0.8623972306360883</v>
      </c>
    </row>
    <row r="150" spans="1:17" ht="15.75">
      <c r="A150" s="60" t="s">
        <v>153</v>
      </c>
      <c r="B150" s="61">
        <f>SUBTOTAL(9,B4:B149)</f>
        <v>47260</v>
      </c>
      <c r="C150" s="61">
        <f aca="true" t="shared" si="35" ref="C150:K150">SUBTOTAL(9,C4:C149)</f>
        <v>21034</v>
      </c>
      <c r="D150" s="61">
        <f t="shared" si="35"/>
        <v>115245</v>
      </c>
      <c r="E150" s="61">
        <f t="shared" si="35"/>
        <v>42045</v>
      </c>
      <c r="F150" s="61">
        <f t="shared" si="35"/>
        <v>101586</v>
      </c>
      <c r="G150" s="61">
        <f t="shared" si="35"/>
        <v>36956</v>
      </c>
      <c r="H150" s="61">
        <f t="shared" si="35"/>
        <v>60712</v>
      </c>
      <c r="I150" s="61">
        <f t="shared" si="35"/>
        <v>28230</v>
      </c>
      <c r="J150" s="61">
        <f t="shared" si="35"/>
        <v>37847</v>
      </c>
      <c r="K150" s="61">
        <f t="shared" si="35"/>
        <v>22920</v>
      </c>
      <c r="L150" s="62">
        <f t="shared" si="32"/>
        <v>1.673244169192252</v>
      </c>
      <c r="M150" s="62">
        <f t="shared" si="32"/>
        <v>1.3091037902940135</v>
      </c>
      <c r="N150" s="62">
        <f t="shared" si="31"/>
        <v>0.800825222175201</v>
      </c>
      <c r="O150" s="62">
        <f t="shared" si="31"/>
        <v>1.0896643529523629</v>
      </c>
      <c r="P150" s="62">
        <f t="shared" si="33"/>
        <v>0.6233858215838713</v>
      </c>
      <c r="Q150" s="62">
        <f t="shared" si="33"/>
        <v>0.8119022316684378</v>
      </c>
    </row>
    <row r="151" spans="1:17" ht="12.75">
      <c r="A151" s="247" t="s">
        <v>190</v>
      </c>
      <c r="B151" s="248"/>
      <c r="C151" s="248"/>
      <c r="D151" s="248"/>
      <c r="E151" s="248"/>
      <c r="F151" s="248"/>
      <c r="G151" s="248"/>
      <c r="H151" s="248"/>
      <c r="I151" s="248"/>
      <c r="J151" s="248"/>
      <c r="K151" s="248"/>
      <c r="L151" s="248"/>
      <c r="M151" s="248"/>
      <c r="N151" s="248"/>
      <c r="O151" s="248"/>
      <c r="P151" s="250"/>
      <c r="Q151" s="224" t="s">
        <v>257</v>
      </c>
    </row>
    <row r="152" spans="1:17" ht="25.5" customHeight="1">
      <c r="A152" s="575" t="s">
        <v>223</v>
      </c>
      <c r="B152" s="575"/>
      <c r="C152" s="575"/>
      <c r="D152" s="575"/>
      <c r="E152" s="575"/>
      <c r="F152" s="575"/>
      <c r="G152" s="575"/>
      <c r="H152" s="575"/>
      <c r="I152" s="575"/>
      <c r="J152" s="575"/>
      <c r="K152" s="575"/>
      <c r="L152" s="575"/>
      <c r="M152" s="575"/>
      <c r="N152" s="575"/>
      <c r="O152" s="575"/>
      <c r="P152" s="575"/>
      <c r="Q152" s="575"/>
    </row>
    <row r="153" spans="1:17" ht="12.75">
      <c r="A153" s="197" t="s">
        <v>187</v>
      </c>
      <c r="B153" s="250"/>
      <c r="C153" s="250"/>
      <c r="D153" s="250"/>
      <c r="E153" s="250"/>
      <c r="F153" s="250"/>
      <c r="G153" s="250"/>
      <c r="H153" s="250"/>
      <c r="I153" s="250"/>
      <c r="J153" s="250"/>
      <c r="K153" s="250"/>
      <c r="L153" s="250"/>
      <c r="M153" s="250"/>
      <c r="N153" s="250"/>
      <c r="O153" s="250"/>
      <c r="P153" s="250"/>
      <c r="Q153" s="250"/>
    </row>
  </sheetData>
  <mergeCells count="10">
    <mergeCell ref="A152:Q152"/>
    <mergeCell ref="A1:Q1"/>
    <mergeCell ref="B2:C2"/>
    <mergeCell ref="D2:E2"/>
    <mergeCell ref="F2:G2"/>
    <mergeCell ref="H2:I2"/>
    <mergeCell ref="J2:K2"/>
    <mergeCell ref="L2:M2"/>
    <mergeCell ref="N2:O2"/>
    <mergeCell ref="P2:Q2"/>
  </mergeCells>
  <printOptions horizontalCentered="1"/>
  <pageMargins left="0.7874015748031497" right="0.7874015748031497" top="0.984251968503937" bottom="0.984251968503937" header="0.5118110236220472" footer="0.5118110236220472"/>
  <pageSetup fitToHeight="100" horizontalDpi="600" verticalDpi="600" orientation="landscape" paperSize="9" scale="57" r:id="rId1"/>
</worksheet>
</file>

<file path=xl/worksheets/sheet11.xml><?xml version="1.0" encoding="utf-8"?>
<worksheet xmlns="http://schemas.openxmlformats.org/spreadsheetml/2006/main" xmlns:r="http://schemas.openxmlformats.org/officeDocument/2006/relationships">
  <sheetPr codeName="Hárok13">
    <tabColor indexed="42"/>
  </sheetPr>
  <dimension ref="A1:P162"/>
  <sheetViews>
    <sheetView zoomScale="70" zoomScaleNormal="70" zoomScaleSheetLayoutView="70" workbookViewId="0" topLeftCell="A1">
      <pane xSplit="1" ySplit="3" topLeftCell="B123" activePane="bottomRight" state="frozen"/>
      <selection pane="topLeft" activeCell="E7" sqref="E7"/>
      <selection pane="topRight" activeCell="E7" sqref="E7"/>
      <selection pane="bottomLeft" activeCell="E7" sqref="E7"/>
      <selection pane="bottomRight" activeCell="P162" sqref="P162"/>
    </sheetView>
  </sheetViews>
  <sheetFormatPr defaultColWidth="9.140625" defaultRowHeight="12.75"/>
  <cols>
    <col min="1" max="1" width="48.421875" style="0" customWidth="1"/>
    <col min="2" max="4" width="10.00390625" style="0" customWidth="1"/>
    <col min="5" max="6" width="12.28125" style="0" customWidth="1"/>
    <col min="7" max="9" width="10.00390625" style="0" customWidth="1"/>
    <col min="10" max="11" width="12.28125" style="0" customWidth="1"/>
    <col min="12" max="14" width="10.00390625" style="0" customWidth="1"/>
    <col min="15" max="16" width="12.28125" style="0" customWidth="1"/>
  </cols>
  <sheetData>
    <row r="1" spans="1:16" ht="75" customHeight="1">
      <c r="A1" s="576" t="s">
        <v>258</v>
      </c>
      <c r="B1" s="576"/>
      <c r="C1" s="576"/>
      <c r="D1" s="576"/>
      <c r="E1" s="576"/>
      <c r="F1" s="576"/>
      <c r="G1" s="576"/>
      <c r="H1" s="576"/>
      <c r="I1" s="576"/>
      <c r="J1" s="576"/>
      <c r="K1" s="576"/>
      <c r="L1" s="576"/>
      <c r="M1" s="576"/>
      <c r="N1" s="576"/>
      <c r="O1" s="576"/>
      <c r="P1" s="576"/>
    </row>
    <row r="2" spans="1:16" ht="28.5" customHeight="1">
      <c r="A2" s="577" t="s">
        <v>156</v>
      </c>
      <c r="B2" s="577" t="s">
        <v>178</v>
      </c>
      <c r="C2" s="577"/>
      <c r="D2" s="577"/>
      <c r="E2" s="579" t="s">
        <v>179</v>
      </c>
      <c r="F2" s="580" t="s">
        <v>184</v>
      </c>
      <c r="G2" s="577" t="s">
        <v>181</v>
      </c>
      <c r="H2" s="577"/>
      <c r="I2" s="577"/>
      <c r="J2" s="579" t="s">
        <v>179</v>
      </c>
      <c r="K2" s="580" t="s">
        <v>180</v>
      </c>
      <c r="L2" s="578" t="s">
        <v>182</v>
      </c>
      <c r="M2" s="578"/>
      <c r="N2" s="578"/>
      <c r="O2" s="579" t="s">
        <v>179</v>
      </c>
      <c r="P2" s="580" t="s">
        <v>180</v>
      </c>
    </row>
    <row r="3" spans="1:16" ht="90" customHeight="1">
      <c r="A3" s="577"/>
      <c r="B3" s="63" t="s">
        <v>183</v>
      </c>
      <c r="C3" s="63" t="s">
        <v>58</v>
      </c>
      <c r="D3" s="63" t="s">
        <v>59</v>
      </c>
      <c r="E3" s="579"/>
      <c r="F3" s="580"/>
      <c r="G3" s="63" t="s">
        <v>183</v>
      </c>
      <c r="H3" s="63" t="s">
        <v>58</v>
      </c>
      <c r="I3" s="63" t="s">
        <v>59</v>
      </c>
      <c r="J3" s="579"/>
      <c r="K3" s="580"/>
      <c r="L3" s="63" t="s">
        <v>183</v>
      </c>
      <c r="M3" s="63" t="s">
        <v>58</v>
      </c>
      <c r="N3" s="63" t="s">
        <v>59</v>
      </c>
      <c r="O3" s="579"/>
      <c r="P3" s="580"/>
    </row>
    <row r="4" spans="1:16" ht="15.75">
      <c r="A4" s="47" t="s">
        <v>60</v>
      </c>
      <c r="B4" s="64">
        <v>18150</v>
      </c>
      <c r="C4" s="64">
        <v>7506</v>
      </c>
      <c r="D4" s="64">
        <v>4983</v>
      </c>
      <c r="E4" s="65">
        <f>IF(ISERROR(C4/B4),"x",C4/B4)</f>
        <v>0.4135537190082645</v>
      </c>
      <c r="F4" s="65">
        <f>IF(ISERROR(D4/C4),"x",D4/C4)</f>
        <v>0.6638689048760992</v>
      </c>
      <c r="G4" s="64">
        <v>3709</v>
      </c>
      <c r="H4" s="64">
        <v>1972</v>
      </c>
      <c r="I4" s="64">
        <v>1727</v>
      </c>
      <c r="J4" s="65">
        <f>IF(ISERROR(H4/G4),"x",H4/G4)</f>
        <v>0.5316796980318145</v>
      </c>
      <c r="K4" s="65">
        <f>IF(ISERROR(I4/H4),"x",I4/H4)</f>
        <v>0.8757606490872211</v>
      </c>
      <c r="L4" s="64">
        <v>21487</v>
      </c>
      <c r="M4" s="64">
        <v>9450</v>
      </c>
      <c r="N4" s="64">
        <v>6708</v>
      </c>
      <c r="O4" s="65">
        <f>IF(ISERROR(M4/L4),"x",M4/L4)</f>
        <v>0.43980080979196723</v>
      </c>
      <c r="P4" s="65">
        <f>IF(ISERROR(N4/M4),"x",N4/M4)</f>
        <v>0.7098412698412698</v>
      </c>
    </row>
    <row r="5" spans="1:16" ht="15.75">
      <c r="A5" s="50" t="s">
        <v>268</v>
      </c>
      <c r="B5" s="28">
        <v>57</v>
      </c>
      <c r="C5" s="28">
        <v>42</v>
      </c>
      <c r="D5" s="28">
        <v>38</v>
      </c>
      <c r="E5" s="115">
        <f aca="true" t="shared" si="0" ref="E5:F67">IF(ISERROR(C5/B5),"x",C5/B5)</f>
        <v>0.7368421052631579</v>
      </c>
      <c r="F5" s="116">
        <f t="shared" si="0"/>
        <v>0.9047619047619048</v>
      </c>
      <c r="G5" s="28">
        <v>106</v>
      </c>
      <c r="H5" s="28">
        <v>77</v>
      </c>
      <c r="I5" s="28">
        <v>73</v>
      </c>
      <c r="J5" s="117">
        <f aca="true" t="shared" si="1" ref="J5:K67">IF(ISERROR(H5/G5),"x",H5/G5)</f>
        <v>0.7264150943396226</v>
      </c>
      <c r="K5" s="118">
        <f t="shared" si="1"/>
        <v>0.948051948051948</v>
      </c>
      <c r="L5" s="28">
        <v>163</v>
      </c>
      <c r="M5" s="28">
        <v>119</v>
      </c>
      <c r="N5" s="28">
        <v>111</v>
      </c>
      <c r="O5" s="117">
        <f aca="true" t="shared" si="2" ref="O5:P67">IF(ISERROR(M5/L5),"x",M5/L5)</f>
        <v>0.7300613496932515</v>
      </c>
      <c r="P5" s="118">
        <f t="shared" si="2"/>
        <v>0.9327731092436975</v>
      </c>
    </row>
    <row r="6" spans="1:16" ht="15.75">
      <c r="A6" s="50" t="s">
        <v>61</v>
      </c>
      <c r="B6" s="28">
        <v>35</v>
      </c>
      <c r="C6" s="28">
        <v>25</v>
      </c>
      <c r="D6" s="28">
        <v>23</v>
      </c>
      <c r="E6" s="115">
        <f t="shared" si="0"/>
        <v>0.7142857142857143</v>
      </c>
      <c r="F6" s="116">
        <f t="shared" si="0"/>
        <v>0.92</v>
      </c>
      <c r="G6" s="28">
        <v>0</v>
      </c>
      <c r="H6" s="28">
        <v>0</v>
      </c>
      <c r="I6" s="28">
        <v>0</v>
      </c>
      <c r="J6" s="117" t="str">
        <f t="shared" si="1"/>
        <v>x</v>
      </c>
      <c r="K6" s="118" t="str">
        <f t="shared" si="1"/>
        <v>x</v>
      </c>
      <c r="L6" s="28">
        <v>35</v>
      </c>
      <c r="M6" s="28">
        <v>25</v>
      </c>
      <c r="N6" s="28">
        <v>23</v>
      </c>
      <c r="O6" s="117">
        <f t="shared" si="2"/>
        <v>0.7142857142857143</v>
      </c>
      <c r="P6" s="118">
        <f t="shared" si="2"/>
        <v>0.92</v>
      </c>
    </row>
    <row r="7" spans="1:16" ht="15.75">
      <c r="A7" s="50" t="s">
        <v>62</v>
      </c>
      <c r="B7" s="28">
        <v>1222</v>
      </c>
      <c r="C7" s="28">
        <v>876</v>
      </c>
      <c r="D7" s="28">
        <v>518</v>
      </c>
      <c r="E7" s="115">
        <f t="shared" si="0"/>
        <v>0.7168576104746317</v>
      </c>
      <c r="F7" s="116">
        <f t="shared" si="0"/>
        <v>0.591324200913242</v>
      </c>
      <c r="G7" s="28">
        <v>0</v>
      </c>
      <c r="H7" s="28">
        <v>0</v>
      </c>
      <c r="I7" s="28">
        <v>0</v>
      </c>
      <c r="J7" s="117" t="str">
        <f t="shared" si="1"/>
        <v>x</v>
      </c>
      <c r="K7" s="118" t="str">
        <f t="shared" si="1"/>
        <v>x</v>
      </c>
      <c r="L7" s="28">
        <v>1222</v>
      </c>
      <c r="M7" s="28">
        <v>876</v>
      </c>
      <c r="N7" s="28">
        <v>518</v>
      </c>
      <c r="O7" s="117">
        <f t="shared" si="2"/>
        <v>0.7168576104746317</v>
      </c>
      <c r="P7" s="118">
        <f t="shared" si="2"/>
        <v>0.591324200913242</v>
      </c>
    </row>
    <row r="8" spans="1:16" ht="15.75">
      <c r="A8" s="50" t="s">
        <v>63</v>
      </c>
      <c r="B8" s="28">
        <v>2362</v>
      </c>
      <c r="C8" s="28">
        <v>1753</v>
      </c>
      <c r="D8" s="28">
        <v>870</v>
      </c>
      <c r="E8" s="115">
        <f t="shared" si="0"/>
        <v>0.7421676545300593</v>
      </c>
      <c r="F8" s="116">
        <f t="shared" si="0"/>
        <v>0.49629207073588133</v>
      </c>
      <c r="G8" s="28">
        <v>385</v>
      </c>
      <c r="H8" s="28">
        <v>385</v>
      </c>
      <c r="I8" s="28">
        <v>302</v>
      </c>
      <c r="J8" s="117">
        <f t="shared" si="1"/>
        <v>1</v>
      </c>
      <c r="K8" s="118">
        <f t="shared" si="1"/>
        <v>0.7844155844155845</v>
      </c>
      <c r="L8" s="28">
        <v>2698</v>
      </c>
      <c r="M8" s="28">
        <v>2116</v>
      </c>
      <c r="N8" s="28">
        <v>1172</v>
      </c>
      <c r="O8" s="117">
        <f t="shared" si="2"/>
        <v>0.7842846553002224</v>
      </c>
      <c r="P8" s="118">
        <f t="shared" si="2"/>
        <v>0.553875236294896</v>
      </c>
    </row>
    <row r="9" spans="1:16" ht="15.75">
      <c r="A9" s="50" t="s">
        <v>64</v>
      </c>
      <c r="B9" s="28">
        <v>1623</v>
      </c>
      <c r="C9" s="28">
        <v>438</v>
      </c>
      <c r="D9" s="28">
        <v>305</v>
      </c>
      <c r="E9" s="115">
        <f t="shared" si="0"/>
        <v>0.2698706099815157</v>
      </c>
      <c r="F9" s="116">
        <f t="shared" si="0"/>
        <v>0.6963470319634704</v>
      </c>
      <c r="G9" s="28">
        <v>945</v>
      </c>
      <c r="H9" s="28">
        <v>827</v>
      </c>
      <c r="I9" s="28">
        <v>714</v>
      </c>
      <c r="J9" s="117">
        <f t="shared" si="1"/>
        <v>0.8751322751322751</v>
      </c>
      <c r="K9" s="118">
        <f t="shared" si="1"/>
        <v>0.8633615477629988</v>
      </c>
      <c r="L9" s="28">
        <v>2551</v>
      </c>
      <c r="M9" s="28">
        <v>1265</v>
      </c>
      <c r="N9" s="28">
        <v>1019</v>
      </c>
      <c r="O9" s="117">
        <f t="shared" si="2"/>
        <v>0.4958839670717366</v>
      </c>
      <c r="P9" s="118">
        <f t="shared" si="2"/>
        <v>0.8055335968379447</v>
      </c>
    </row>
    <row r="10" spans="1:16" ht="15.75">
      <c r="A10" s="50" t="s">
        <v>65</v>
      </c>
      <c r="B10" s="28">
        <v>1905</v>
      </c>
      <c r="C10" s="28">
        <v>603</v>
      </c>
      <c r="D10" s="28">
        <v>412</v>
      </c>
      <c r="E10" s="115">
        <f t="shared" si="0"/>
        <v>0.3165354330708661</v>
      </c>
      <c r="F10" s="116">
        <f t="shared" si="0"/>
        <v>0.6832504145936982</v>
      </c>
      <c r="G10" s="28">
        <v>35</v>
      </c>
      <c r="H10" s="28">
        <v>28</v>
      </c>
      <c r="I10" s="28">
        <v>26</v>
      </c>
      <c r="J10" s="117">
        <f t="shared" si="1"/>
        <v>0.8</v>
      </c>
      <c r="K10" s="118">
        <f t="shared" si="1"/>
        <v>0.9285714285714286</v>
      </c>
      <c r="L10" s="28">
        <v>1940</v>
      </c>
      <c r="M10" s="28">
        <v>631</v>
      </c>
      <c r="N10" s="28">
        <v>438</v>
      </c>
      <c r="O10" s="117">
        <f t="shared" si="2"/>
        <v>0.3252577319587629</v>
      </c>
      <c r="P10" s="118">
        <f t="shared" si="2"/>
        <v>0.694136291600634</v>
      </c>
    </row>
    <row r="11" spans="1:16" ht="15.75">
      <c r="A11" s="50" t="s">
        <v>70</v>
      </c>
      <c r="B11" s="28">
        <v>1121</v>
      </c>
      <c r="C11" s="28">
        <v>449</v>
      </c>
      <c r="D11" s="28">
        <v>244</v>
      </c>
      <c r="E11" s="115">
        <f t="shared" si="0"/>
        <v>0.4005352363960749</v>
      </c>
      <c r="F11" s="116">
        <f t="shared" si="0"/>
        <v>0.5434298440979956</v>
      </c>
      <c r="G11" s="28">
        <v>90</v>
      </c>
      <c r="H11" s="28">
        <v>90</v>
      </c>
      <c r="I11" s="28">
        <v>86</v>
      </c>
      <c r="J11" s="117">
        <f t="shared" si="1"/>
        <v>1</v>
      </c>
      <c r="K11" s="118">
        <f t="shared" si="1"/>
        <v>0.9555555555555556</v>
      </c>
      <c r="L11" s="28">
        <v>1210</v>
      </c>
      <c r="M11" s="28">
        <v>539</v>
      </c>
      <c r="N11" s="28">
        <v>330</v>
      </c>
      <c r="O11" s="117">
        <f t="shared" si="2"/>
        <v>0.44545454545454544</v>
      </c>
      <c r="P11" s="118">
        <f t="shared" si="2"/>
        <v>0.6122448979591837</v>
      </c>
    </row>
    <row r="12" spans="1:16" ht="15.75">
      <c r="A12" s="50" t="s">
        <v>71</v>
      </c>
      <c r="B12" s="28">
        <v>1025</v>
      </c>
      <c r="C12" s="28">
        <v>350</v>
      </c>
      <c r="D12" s="28">
        <v>292</v>
      </c>
      <c r="E12" s="115">
        <f t="shared" si="0"/>
        <v>0.34146341463414637</v>
      </c>
      <c r="F12" s="116">
        <f t="shared" si="0"/>
        <v>0.8342857142857143</v>
      </c>
      <c r="G12" s="28">
        <v>0</v>
      </c>
      <c r="H12" s="28">
        <v>0</v>
      </c>
      <c r="I12" s="28">
        <v>0</v>
      </c>
      <c r="J12" s="117" t="str">
        <f t="shared" si="1"/>
        <v>x</v>
      </c>
      <c r="K12" s="118" t="str">
        <f t="shared" si="1"/>
        <v>x</v>
      </c>
      <c r="L12" s="28">
        <v>1025</v>
      </c>
      <c r="M12" s="28">
        <v>350</v>
      </c>
      <c r="N12" s="28">
        <v>292</v>
      </c>
      <c r="O12" s="117">
        <f t="shared" si="2"/>
        <v>0.34146341463414637</v>
      </c>
      <c r="P12" s="118">
        <f t="shared" si="2"/>
        <v>0.8342857142857143</v>
      </c>
    </row>
    <row r="13" spans="1:16" ht="15.75">
      <c r="A13" s="50" t="s">
        <v>72</v>
      </c>
      <c r="B13" s="28">
        <v>2025</v>
      </c>
      <c r="C13" s="28">
        <v>354</v>
      </c>
      <c r="D13" s="28">
        <v>318</v>
      </c>
      <c r="E13" s="115">
        <f t="shared" si="0"/>
        <v>0.1748148148148148</v>
      </c>
      <c r="F13" s="116">
        <f t="shared" si="0"/>
        <v>0.8983050847457628</v>
      </c>
      <c r="G13" s="28">
        <v>1269</v>
      </c>
      <c r="H13" s="28">
        <v>150</v>
      </c>
      <c r="I13" s="28">
        <v>140</v>
      </c>
      <c r="J13" s="117">
        <f t="shared" si="1"/>
        <v>0.1182033096926714</v>
      </c>
      <c r="K13" s="118">
        <f t="shared" si="1"/>
        <v>0.9333333333333333</v>
      </c>
      <c r="L13" s="28">
        <v>3005</v>
      </c>
      <c r="M13" s="28">
        <v>503</v>
      </c>
      <c r="N13" s="28">
        <v>457</v>
      </c>
      <c r="O13" s="117">
        <f t="shared" si="2"/>
        <v>0.16738768718801997</v>
      </c>
      <c r="P13" s="118">
        <f t="shared" si="2"/>
        <v>0.9085487077534792</v>
      </c>
    </row>
    <row r="14" spans="1:16" ht="15.75">
      <c r="A14" s="50" t="s">
        <v>73</v>
      </c>
      <c r="B14" s="28">
        <v>3711</v>
      </c>
      <c r="C14" s="28">
        <v>1198</v>
      </c>
      <c r="D14" s="28">
        <v>986</v>
      </c>
      <c r="E14" s="115">
        <f t="shared" si="0"/>
        <v>0.32282403664780385</v>
      </c>
      <c r="F14" s="116">
        <f t="shared" si="0"/>
        <v>0.8230383973288815</v>
      </c>
      <c r="G14" s="28">
        <v>52</v>
      </c>
      <c r="H14" s="28">
        <v>16</v>
      </c>
      <c r="I14" s="28">
        <v>15</v>
      </c>
      <c r="J14" s="117">
        <f t="shared" si="1"/>
        <v>0.3076923076923077</v>
      </c>
      <c r="K14" s="118">
        <f t="shared" si="1"/>
        <v>0.9375</v>
      </c>
      <c r="L14" s="28">
        <v>3763</v>
      </c>
      <c r="M14" s="28">
        <v>1214</v>
      </c>
      <c r="N14" s="28">
        <v>1001</v>
      </c>
      <c r="O14" s="117">
        <f t="shared" si="2"/>
        <v>0.3226149348923731</v>
      </c>
      <c r="P14" s="118">
        <f t="shared" si="2"/>
        <v>0.8245469522240527</v>
      </c>
    </row>
    <row r="15" spans="1:16" ht="15.75">
      <c r="A15" s="50" t="s">
        <v>74</v>
      </c>
      <c r="B15" s="28">
        <v>843</v>
      </c>
      <c r="C15" s="28">
        <v>307</v>
      </c>
      <c r="D15" s="28">
        <v>171</v>
      </c>
      <c r="E15" s="115">
        <f t="shared" si="0"/>
        <v>0.3641755634638197</v>
      </c>
      <c r="F15" s="116">
        <f t="shared" si="0"/>
        <v>0.5570032573289903</v>
      </c>
      <c r="G15" s="28">
        <v>196</v>
      </c>
      <c r="H15" s="28">
        <v>92</v>
      </c>
      <c r="I15" s="28">
        <v>86</v>
      </c>
      <c r="J15" s="117">
        <f t="shared" si="1"/>
        <v>0.46938775510204084</v>
      </c>
      <c r="K15" s="118">
        <f t="shared" si="1"/>
        <v>0.9347826086956522</v>
      </c>
      <c r="L15" s="28">
        <v>1039</v>
      </c>
      <c r="M15" s="28">
        <v>399</v>
      </c>
      <c r="N15" s="28">
        <v>257</v>
      </c>
      <c r="O15" s="117">
        <f t="shared" si="2"/>
        <v>0.38402309913378246</v>
      </c>
      <c r="P15" s="118">
        <f t="shared" si="2"/>
        <v>0.6441102756892231</v>
      </c>
    </row>
    <row r="16" spans="1:16" ht="15.75">
      <c r="A16" s="50" t="s">
        <v>75</v>
      </c>
      <c r="B16" s="28">
        <v>1551</v>
      </c>
      <c r="C16" s="28">
        <v>749</v>
      </c>
      <c r="D16" s="28">
        <v>502</v>
      </c>
      <c r="E16" s="115">
        <f t="shared" si="0"/>
        <v>0.4829142488716957</v>
      </c>
      <c r="F16" s="116">
        <f t="shared" si="0"/>
        <v>0.6702269692923899</v>
      </c>
      <c r="G16" s="28">
        <v>630</v>
      </c>
      <c r="H16" s="28">
        <v>306</v>
      </c>
      <c r="I16" s="28">
        <v>284</v>
      </c>
      <c r="J16" s="117">
        <f t="shared" si="1"/>
        <v>0.4857142857142857</v>
      </c>
      <c r="K16" s="118">
        <f t="shared" si="1"/>
        <v>0.9281045751633987</v>
      </c>
      <c r="L16" s="28">
        <v>2165</v>
      </c>
      <c r="M16" s="28">
        <v>1050</v>
      </c>
      <c r="N16" s="28">
        <v>785</v>
      </c>
      <c r="O16" s="117">
        <f t="shared" si="2"/>
        <v>0.48498845265588914</v>
      </c>
      <c r="P16" s="118">
        <f t="shared" si="2"/>
        <v>0.7476190476190476</v>
      </c>
    </row>
    <row r="17" spans="1:16" ht="15.75">
      <c r="A17" s="50" t="s">
        <v>76</v>
      </c>
      <c r="B17" s="28">
        <v>670</v>
      </c>
      <c r="C17" s="28">
        <v>362</v>
      </c>
      <c r="D17" s="28">
        <v>304</v>
      </c>
      <c r="E17" s="115">
        <f t="shared" si="0"/>
        <v>0.5402985074626866</v>
      </c>
      <c r="F17" s="116">
        <f t="shared" si="0"/>
        <v>0.8397790055248618</v>
      </c>
      <c r="G17" s="28">
        <v>1</v>
      </c>
      <c r="H17" s="28">
        <v>1</v>
      </c>
      <c r="I17" s="28">
        <v>1</v>
      </c>
      <c r="J17" s="117">
        <f t="shared" si="1"/>
        <v>1</v>
      </c>
      <c r="K17" s="118">
        <f t="shared" si="1"/>
        <v>1</v>
      </c>
      <c r="L17" s="28">
        <v>671</v>
      </c>
      <c r="M17" s="28">
        <v>363</v>
      </c>
      <c r="N17" s="28">
        <v>305</v>
      </c>
      <c r="O17" s="117">
        <f t="shared" si="2"/>
        <v>0.5409836065573771</v>
      </c>
      <c r="P17" s="118">
        <f t="shared" si="2"/>
        <v>0.8402203856749312</v>
      </c>
    </row>
    <row r="18" spans="1:16" ht="15.75">
      <c r="A18" s="47" t="s">
        <v>78</v>
      </c>
      <c r="B18" s="66">
        <v>5299</v>
      </c>
      <c r="C18" s="66">
        <v>2887</v>
      </c>
      <c r="D18" s="66">
        <v>1903</v>
      </c>
      <c r="E18" s="119">
        <f t="shared" si="0"/>
        <v>0.5448197773164748</v>
      </c>
      <c r="F18" s="119">
        <f t="shared" si="0"/>
        <v>0.659161759612054</v>
      </c>
      <c r="G18" s="66">
        <v>206</v>
      </c>
      <c r="H18" s="66">
        <v>88</v>
      </c>
      <c r="I18" s="66">
        <v>79</v>
      </c>
      <c r="J18" s="120">
        <f t="shared" si="1"/>
        <v>0.42718446601941745</v>
      </c>
      <c r="K18" s="120">
        <f t="shared" si="1"/>
        <v>0.8977272727272727</v>
      </c>
      <c r="L18" s="66">
        <v>5505</v>
      </c>
      <c r="M18" s="66">
        <v>2975</v>
      </c>
      <c r="N18" s="66">
        <v>1982</v>
      </c>
      <c r="O18" s="120">
        <f t="shared" si="2"/>
        <v>0.5404178019981835</v>
      </c>
      <c r="P18" s="120">
        <f t="shared" si="2"/>
        <v>0.666218487394958</v>
      </c>
    </row>
    <row r="19" spans="1:16" ht="15.75">
      <c r="A19" s="50" t="s">
        <v>269</v>
      </c>
      <c r="B19" s="28">
        <v>1053</v>
      </c>
      <c r="C19" s="28">
        <v>690</v>
      </c>
      <c r="D19" s="28">
        <v>459</v>
      </c>
      <c r="E19" s="115">
        <f t="shared" si="0"/>
        <v>0.6552706552706553</v>
      </c>
      <c r="F19" s="116">
        <f t="shared" si="0"/>
        <v>0.6652173913043479</v>
      </c>
      <c r="G19" s="28">
        <v>0</v>
      </c>
      <c r="H19" s="28">
        <v>0</v>
      </c>
      <c r="I19" s="28">
        <v>0</v>
      </c>
      <c r="J19" s="117" t="str">
        <f t="shared" si="1"/>
        <v>x</v>
      </c>
      <c r="K19" s="118" t="str">
        <f t="shared" si="1"/>
        <v>x</v>
      </c>
      <c r="L19" s="28">
        <v>1053</v>
      </c>
      <c r="M19" s="28">
        <v>690</v>
      </c>
      <c r="N19" s="28">
        <v>459</v>
      </c>
      <c r="O19" s="117">
        <f t="shared" si="2"/>
        <v>0.6552706552706553</v>
      </c>
      <c r="P19" s="118">
        <f t="shared" si="2"/>
        <v>0.6652173913043479</v>
      </c>
    </row>
    <row r="20" spans="1:16" ht="15.75">
      <c r="A20" s="50" t="s">
        <v>63</v>
      </c>
      <c r="B20" s="28">
        <v>1243</v>
      </c>
      <c r="C20" s="28">
        <v>1099</v>
      </c>
      <c r="D20" s="28">
        <v>554</v>
      </c>
      <c r="E20" s="115">
        <f t="shared" si="0"/>
        <v>0.8841512469831054</v>
      </c>
      <c r="F20" s="116">
        <f t="shared" si="0"/>
        <v>0.5040946314831665</v>
      </c>
      <c r="G20" s="28">
        <v>40</v>
      </c>
      <c r="H20" s="28">
        <v>23</v>
      </c>
      <c r="I20" s="28">
        <v>19</v>
      </c>
      <c r="J20" s="117">
        <f t="shared" si="1"/>
        <v>0.575</v>
      </c>
      <c r="K20" s="118">
        <f t="shared" si="1"/>
        <v>0.8260869565217391</v>
      </c>
      <c r="L20" s="28">
        <v>1283</v>
      </c>
      <c r="M20" s="28">
        <v>1122</v>
      </c>
      <c r="N20" s="28">
        <v>573</v>
      </c>
      <c r="O20" s="117">
        <f t="shared" si="2"/>
        <v>0.8745128604832424</v>
      </c>
      <c r="P20" s="118">
        <f t="shared" si="2"/>
        <v>0.5106951871657754</v>
      </c>
    </row>
    <row r="21" spans="1:16" ht="15.75">
      <c r="A21" s="50" t="s">
        <v>79</v>
      </c>
      <c r="B21" s="28">
        <v>633</v>
      </c>
      <c r="C21" s="28">
        <v>309</v>
      </c>
      <c r="D21" s="28">
        <v>206</v>
      </c>
      <c r="E21" s="115">
        <f t="shared" si="0"/>
        <v>0.4881516587677725</v>
      </c>
      <c r="F21" s="116">
        <f t="shared" si="0"/>
        <v>0.6666666666666666</v>
      </c>
      <c r="G21" s="28">
        <v>166</v>
      </c>
      <c r="H21" s="28">
        <v>65</v>
      </c>
      <c r="I21" s="28">
        <v>60</v>
      </c>
      <c r="J21" s="117">
        <f t="shared" si="1"/>
        <v>0.39156626506024095</v>
      </c>
      <c r="K21" s="118">
        <f t="shared" si="1"/>
        <v>0.9230769230769231</v>
      </c>
      <c r="L21" s="28">
        <v>799</v>
      </c>
      <c r="M21" s="28">
        <v>374</v>
      </c>
      <c r="N21" s="28">
        <v>266</v>
      </c>
      <c r="O21" s="117">
        <f t="shared" si="2"/>
        <v>0.46808510638297873</v>
      </c>
      <c r="P21" s="118">
        <f t="shared" si="2"/>
        <v>0.7112299465240641</v>
      </c>
    </row>
    <row r="22" spans="1:16" ht="15.75">
      <c r="A22" s="50" t="s">
        <v>65</v>
      </c>
      <c r="B22" s="28">
        <v>1207</v>
      </c>
      <c r="C22" s="28">
        <v>428</v>
      </c>
      <c r="D22" s="28">
        <v>425</v>
      </c>
      <c r="E22" s="115">
        <f t="shared" si="0"/>
        <v>0.35459817729908866</v>
      </c>
      <c r="F22" s="116">
        <f t="shared" si="0"/>
        <v>0.9929906542056075</v>
      </c>
      <c r="G22" s="28">
        <v>0</v>
      </c>
      <c r="H22" s="28">
        <v>0</v>
      </c>
      <c r="I22" s="28">
        <v>0</v>
      </c>
      <c r="J22" s="117" t="str">
        <f t="shared" si="1"/>
        <v>x</v>
      </c>
      <c r="K22" s="118" t="str">
        <f t="shared" si="1"/>
        <v>x</v>
      </c>
      <c r="L22" s="28">
        <v>1207</v>
      </c>
      <c r="M22" s="28">
        <v>428</v>
      </c>
      <c r="N22" s="28">
        <v>425</v>
      </c>
      <c r="O22" s="117">
        <f t="shared" si="2"/>
        <v>0.35459817729908866</v>
      </c>
      <c r="P22" s="118">
        <f t="shared" si="2"/>
        <v>0.9929906542056075</v>
      </c>
    </row>
    <row r="23" spans="1:16" ht="15.75">
      <c r="A23" s="50" t="s">
        <v>72</v>
      </c>
      <c r="B23" s="28">
        <v>1163</v>
      </c>
      <c r="C23" s="28">
        <v>361</v>
      </c>
      <c r="D23" s="28">
        <v>259</v>
      </c>
      <c r="E23" s="115">
        <f t="shared" si="0"/>
        <v>0.3104041272570937</v>
      </c>
      <c r="F23" s="116">
        <f t="shared" si="0"/>
        <v>0.7174515235457064</v>
      </c>
      <c r="G23" s="28">
        <v>0</v>
      </c>
      <c r="H23" s="28">
        <v>0</v>
      </c>
      <c r="I23" s="28">
        <v>0</v>
      </c>
      <c r="J23" s="117" t="str">
        <f t="shared" si="1"/>
        <v>x</v>
      </c>
      <c r="K23" s="118" t="str">
        <f t="shared" si="1"/>
        <v>x</v>
      </c>
      <c r="L23" s="28">
        <v>1163</v>
      </c>
      <c r="M23" s="28">
        <v>361</v>
      </c>
      <c r="N23" s="28">
        <v>259</v>
      </c>
      <c r="O23" s="117">
        <f t="shared" si="2"/>
        <v>0.3104041272570937</v>
      </c>
      <c r="P23" s="118">
        <f t="shared" si="2"/>
        <v>0.7174515235457064</v>
      </c>
    </row>
    <row r="24" spans="1:16" ht="15.75">
      <c r="A24" s="47" t="s">
        <v>80</v>
      </c>
      <c r="B24" s="66">
        <v>8446</v>
      </c>
      <c r="C24" s="66">
        <v>3665</v>
      </c>
      <c r="D24" s="66">
        <v>2070</v>
      </c>
      <c r="E24" s="119">
        <f t="shared" si="0"/>
        <v>0.4339332228273739</v>
      </c>
      <c r="F24" s="119">
        <f t="shared" si="0"/>
        <v>0.5648021828103683</v>
      </c>
      <c r="G24" s="66">
        <v>4053</v>
      </c>
      <c r="H24" s="66">
        <v>1591</v>
      </c>
      <c r="I24" s="66">
        <v>1201</v>
      </c>
      <c r="J24" s="120">
        <f t="shared" si="1"/>
        <v>0.3925487293362941</v>
      </c>
      <c r="K24" s="120">
        <f t="shared" si="1"/>
        <v>0.7548711502199874</v>
      </c>
      <c r="L24" s="66">
        <v>12494</v>
      </c>
      <c r="M24" s="66">
        <v>5256</v>
      </c>
      <c r="N24" s="66">
        <v>3271</v>
      </c>
      <c r="O24" s="120">
        <f t="shared" si="2"/>
        <v>0.42068192732511606</v>
      </c>
      <c r="P24" s="120">
        <f t="shared" si="2"/>
        <v>0.6223363774733638</v>
      </c>
    </row>
    <row r="25" spans="1:16" ht="15.75">
      <c r="A25" s="50" t="s">
        <v>218</v>
      </c>
      <c r="B25" s="28">
        <v>166</v>
      </c>
      <c r="C25" s="28">
        <v>144</v>
      </c>
      <c r="D25" s="28">
        <v>116</v>
      </c>
      <c r="E25" s="115">
        <f t="shared" si="0"/>
        <v>0.8674698795180723</v>
      </c>
      <c r="F25" s="116">
        <f t="shared" si="0"/>
        <v>0.8055555555555556</v>
      </c>
      <c r="G25" s="28">
        <v>337</v>
      </c>
      <c r="H25" s="28">
        <v>165</v>
      </c>
      <c r="I25" s="28">
        <v>149</v>
      </c>
      <c r="J25" s="117">
        <f t="shared" si="1"/>
        <v>0.4896142433234421</v>
      </c>
      <c r="K25" s="118">
        <f t="shared" si="1"/>
        <v>0.9030303030303031</v>
      </c>
      <c r="L25" s="28">
        <v>502</v>
      </c>
      <c r="M25" s="28">
        <v>309</v>
      </c>
      <c r="N25" s="28">
        <v>265</v>
      </c>
      <c r="O25" s="117">
        <f t="shared" si="2"/>
        <v>0.6155378486055777</v>
      </c>
      <c r="P25" s="118">
        <f t="shared" si="2"/>
        <v>0.8576051779935275</v>
      </c>
    </row>
    <row r="26" spans="1:16" ht="15.75">
      <c r="A26" s="50" t="s">
        <v>81</v>
      </c>
      <c r="B26" s="28">
        <v>85</v>
      </c>
      <c r="C26" s="28">
        <v>64</v>
      </c>
      <c r="D26" s="28">
        <v>52</v>
      </c>
      <c r="E26" s="115">
        <f t="shared" si="0"/>
        <v>0.7529411764705882</v>
      </c>
      <c r="F26" s="116">
        <f t="shared" si="0"/>
        <v>0.8125</v>
      </c>
      <c r="G26" s="28">
        <v>10</v>
      </c>
      <c r="H26" s="28">
        <v>10</v>
      </c>
      <c r="I26" s="28">
        <v>10</v>
      </c>
      <c r="J26" s="117">
        <f t="shared" si="1"/>
        <v>1</v>
      </c>
      <c r="K26" s="118">
        <f t="shared" si="1"/>
        <v>1</v>
      </c>
      <c r="L26" s="28">
        <v>95</v>
      </c>
      <c r="M26" s="28">
        <v>74</v>
      </c>
      <c r="N26" s="28">
        <v>62</v>
      </c>
      <c r="O26" s="117">
        <f t="shared" si="2"/>
        <v>0.7789473684210526</v>
      </c>
      <c r="P26" s="118">
        <f t="shared" si="2"/>
        <v>0.8378378378378378</v>
      </c>
    </row>
    <row r="27" spans="1:16" ht="15.75">
      <c r="A27" s="50" t="s">
        <v>82</v>
      </c>
      <c r="B27" s="28">
        <v>427</v>
      </c>
      <c r="C27" s="28">
        <v>218</v>
      </c>
      <c r="D27" s="28">
        <v>171</v>
      </c>
      <c r="E27" s="115">
        <f t="shared" si="0"/>
        <v>0.5105386416861827</v>
      </c>
      <c r="F27" s="116">
        <f t="shared" si="0"/>
        <v>0.7844036697247706</v>
      </c>
      <c r="G27" s="28">
        <v>219</v>
      </c>
      <c r="H27" s="28">
        <v>196</v>
      </c>
      <c r="I27" s="28">
        <v>171</v>
      </c>
      <c r="J27" s="117">
        <f t="shared" si="1"/>
        <v>0.8949771689497716</v>
      </c>
      <c r="K27" s="118">
        <f t="shared" si="1"/>
        <v>0.8724489795918368</v>
      </c>
      <c r="L27" s="28">
        <v>646</v>
      </c>
      <c r="M27" s="28">
        <v>414</v>
      </c>
      <c r="N27" s="28">
        <v>342</v>
      </c>
      <c r="O27" s="117">
        <f t="shared" si="2"/>
        <v>0.6408668730650154</v>
      </c>
      <c r="P27" s="118">
        <f t="shared" si="2"/>
        <v>0.8260869565217391</v>
      </c>
    </row>
    <row r="28" spans="1:16" ht="15.75">
      <c r="A28" s="50" t="s">
        <v>83</v>
      </c>
      <c r="B28" s="28">
        <v>2751</v>
      </c>
      <c r="C28" s="28">
        <v>1127</v>
      </c>
      <c r="D28" s="28">
        <v>612</v>
      </c>
      <c r="E28" s="115">
        <f t="shared" si="0"/>
        <v>0.40966921119592875</v>
      </c>
      <c r="F28" s="116">
        <f t="shared" si="0"/>
        <v>0.5430346051464063</v>
      </c>
      <c r="G28" s="28">
        <v>248</v>
      </c>
      <c r="H28" s="28">
        <v>103</v>
      </c>
      <c r="I28" s="28">
        <v>101</v>
      </c>
      <c r="J28" s="117">
        <f t="shared" si="1"/>
        <v>0.4153225806451613</v>
      </c>
      <c r="K28" s="118">
        <f t="shared" si="1"/>
        <v>0.9805825242718447</v>
      </c>
      <c r="L28" s="28">
        <v>2999</v>
      </c>
      <c r="M28" s="28">
        <v>1230</v>
      </c>
      <c r="N28" s="28">
        <v>713</v>
      </c>
      <c r="O28" s="117">
        <f t="shared" si="2"/>
        <v>0.4101367122374125</v>
      </c>
      <c r="P28" s="118">
        <f t="shared" si="2"/>
        <v>0.5796747967479675</v>
      </c>
    </row>
    <row r="29" spans="1:16" ht="15.75">
      <c r="A29" s="50" t="s">
        <v>84</v>
      </c>
      <c r="B29" s="28">
        <v>1397</v>
      </c>
      <c r="C29" s="28">
        <v>638</v>
      </c>
      <c r="D29" s="28">
        <v>442</v>
      </c>
      <c r="E29" s="115">
        <f t="shared" si="0"/>
        <v>0.4566929133858268</v>
      </c>
      <c r="F29" s="116">
        <f t="shared" si="0"/>
        <v>0.6927899686520376</v>
      </c>
      <c r="G29" s="28">
        <v>368</v>
      </c>
      <c r="H29" s="28">
        <v>258</v>
      </c>
      <c r="I29" s="28">
        <v>215</v>
      </c>
      <c r="J29" s="117">
        <f t="shared" si="1"/>
        <v>0.7010869565217391</v>
      </c>
      <c r="K29" s="118">
        <f t="shared" si="1"/>
        <v>0.8333333333333334</v>
      </c>
      <c r="L29" s="28">
        <v>1762</v>
      </c>
      <c r="M29" s="28">
        <v>896</v>
      </c>
      <c r="N29" s="28">
        <v>657</v>
      </c>
      <c r="O29" s="117">
        <f t="shared" si="2"/>
        <v>0.5085130533484676</v>
      </c>
      <c r="P29" s="118">
        <f t="shared" si="2"/>
        <v>0.7332589285714286</v>
      </c>
    </row>
    <row r="30" spans="1:16" ht="15.75">
      <c r="A30" s="50" t="s">
        <v>75</v>
      </c>
      <c r="B30" s="28">
        <v>330</v>
      </c>
      <c r="C30" s="28">
        <v>305</v>
      </c>
      <c r="D30" s="28">
        <v>240</v>
      </c>
      <c r="E30" s="115">
        <f t="shared" si="0"/>
        <v>0.9242424242424242</v>
      </c>
      <c r="F30" s="116">
        <f t="shared" si="0"/>
        <v>0.7868852459016393</v>
      </c>
      <c r="G30" s="28">
        <v>464</v>
      </c>
      <c r="H30" s="28">
        <v>261</v>
      </c>
      <c r="I30" s="28">
        <v>238</v>
      </c>
      <c r="J30" s="117">
        <f t="shared" si="1"/>
        <v>0.5625</v>
      </c>
      <c r="K30" s="118">
        <f t="shared" si="1"/>
        <v>0.9118773946360154</v>
      </c>
      <c r="L30" s="28">
        <v>794</v>
      </c>
      <c r="M30" s="28">
        <v>566</v>
      </c>
      <c r="N30" s="28">
        <v>478</v>
      </c>
      <c r="O30" s="117">
        <f t="shared" si="2"/>
        <v>0.7128463476070529</v>
      </c>
      <c r="P30" s="118">
        <f t="shared" si="2"/>
        <v>0.8445229681978799</v>
      </c>
    </row>
    <row r="31" spans="1:16" ht="15.75">
      <c r="A31" s="50" t="s">
        <v>85</v>
      </c>
      <c r="B31" s="28">
        <v>174</v>
      </c>
      <c r="C31" s="28">
        <v>113</v>
      </c>
      <c r="D31" s="28">
        <v>100</v>
      </c>
      <c r="E31" s="115">
        <f t="shared" si="0"/>
        <v>0.6494252873563219</v>
      </c>
      <c r="F31" s="116">
        <f t="shared" si="0"/>
        <v>0.8849557522123894</v>
      </c>
      <c r="G31" s="28">
        <v>69</v>
      </c>
      <c r="H31" s="28">
        <v>51</v>
      </c>
      <c r="I31" s="28">
        <v>49</v>
      </c>
      <c r="J31" s="117">
        <f t="shared" si="1"/>
        <v>0.7391304347826086</v>
      </c>
      <c r="K31" s="118">
        <f t="shared" si="1"/>
        <v>0.9607843137254902</v>
      </c>
      <c r="L31" s="28">
        <v>243</v>
      </c>
      <c r="M31" s="28">
        <v>164</v>
      </c>
      <c r="N31" s="28">
        <v>149</v>
      </c>
      <c r="O31" s="117">
        <f t="shared" si="2"/>
        <v>0.6748971193415638</v>
      </c>
      <c r="P31" s="118">
        <f t="shared" si="2"/>
        <v>0.9085365853658537</v>
      </c>
    </row>
    <row r="32" spans="1:16" ht="15.75">
      <c r="A32" s="50" t="s">
        <v>86</v>
      </c>
      <c r="B32" s="28">
        <v>3116</v>
      </c>
      <c r="C32" s="28">
        <v>1056</v>
      </c>
      <c r="D32" s="28">
        <v>337</v>
      </c>
      <c r="E32" s="115">
        <f t="shared" si="0"/>
        <v>0.33889602053915274</v>
      </c>
      <c r="F32" s="116">
        <f t="shared" si="0"/>
        <v>0.3191287878787879</v>
      </c>
      <c r="G32" s="28">
        <v>2338</v>
      </c>
      <c r="H32" s="28">
        <v>547</v>
      </c>
      <c r="I32" s="28">
        <v>268</v>
      </c>
      <c r="J32" s="117">
        <f t="shared" si="1"/>
        <v>0.2339606501283148</v>
      </c>
      <c r="K32" s="118">
        <f t="shared" si="1"/>
        <v>0.489945155393053</v>
      </c>
      <c r="L32" s="28">
        <v>5453</v>
      </c>
      <c r="M32" s="28">
        <v>1603</v>
      </c>
      <c r="N32" s="28">
        <v>605</v>
      </c>
      <c r="O32" s="117">
        <f t="shared" si="2"/>
        <v>0.2939666238767651</v>
      </c>
      <c r="P32" s="118">
        <f t="shared" si="2"/>
        <v>0.37741734248284464</v>
      </c>
    </row>
    <row r="33" spans="1:16" ht="15.75">
      <c r="A33" s="47" t="s">
        <v>87</v>
      </c>
      <c r="B33" s="66">
        <v>5266</v>
      </c>
      <c r="C33" s="66">
        <v>2728</v>
      </c>
      <c r="D33" s="66">
        <v>1495</v>
      </c>
      <c r="E33" s="119">
        <f t="shared" si="0"/>
        <v>0.5180402582605393</v>
      </c>
      <c r="F33" s="119">
        <f t="shared" si="0"/>
        <v>0.5480205278592375</v>
      </c>
      <c r="G33" s="66">
        <v>2267</v>
      </c>
      <c r="H33" s="66">
        <v>1509</v>
      </c>
      <c r="I33" s="66">
        <v>1263</v>
      </c>
      <c r="J33" s="120">
        <f t="shared" si="1"/>
        <v>0.6656374062637848</v>
      </c>
      <c r="K33" s="120">
        <f t="shared" si="1"/>
        <v>0.8369781312127237</v>
      </c>
      <c r="L33" s="66">
        <v>7491</v>
      </c>
      <c r="M33" s="66">
        <v>4219</v>
      </c>
      <c r="N33" s="66">
        <v>2755</v>
      </c>
      <c r="O33" s="120">
        <f t="shared" si="2"/>
        <v>0.5632091843545588</v>
      </c>
      <c r="P33" s="120">
        <f t="shared" si="2"/>
        <v>0.6529983408390614</v>
      </c>
    </row>
    <row r="34" spans="1:16" ht="15.75">
      <c r="A34" s="50" t="s">
        <v>269</v>
      </c>
      <c r="B34" s="28">
        <v>266</v>
      </c>
      <c r="C34" s="28">
        <v>198</v>
      </c>
      <c r="D34" s="28">
        <v>123</v>
      </c>
      <c r="E34" s="115">
        <f>IF(ISERROR(C34/B34),"x",C34/B34)</f>
        <v>0.7443609022556391</v>
      </c>
      <c r="F34" s="116">
        <f>IF(ISERROR(D34/C34),"x",D34/C34)</f>
        <v>0.6212121212121212</v>
      </c>
      <c r="G34" s="28">
        <v>174</v>
      </c>
      <c r="H34" s="28">
        <v>161</v>
      </c>
      <c r="I34" s="28">
        <v>139</v>
      </c>
      <c r="J34" s="117">
        <f>IF(ISERROR(H34/G34),"x",H34/G34)</f>
        <v>0.9252873563218391</v>
      </c>
      <c r="K34" s="118">
        <f>IF(ISERROR(I34/H34),"x",I34/H34)</f>
        <v>0.8633540372670807</v>
      </c>
      <c r="L34" s="28">
        <v>440</v>
      </c>
      <c r="M34" s="28">
        <v>359</v>
      </c>
      <c r="N34" s="28">
        <v>262</v>
      </c>
      <c r="O34" s="117">
        <f>IF(ISERROR(M34/L34),"x",M34/L34)</f>
        <v>0.8159090909090909</v>
      </c>
      <c r="P34" s="118">
        <f>IF(ISERROR(N34/M34),"x",N34/M34)</f>
        <v>0.7298050139275766</v>
      </c>
    </row>
    <row r="35" spans="1:16" ht="15.75">
      <c r="A35" s="50" t="s">
        <v>88</v>
      </c>
      <c r="B35" s="28">
        <v>682</v>
      </c>
      <c r="C35" s="28">
        <v>575</v>
      </c>
      <c r="D35" s="28">
        <v>282</v>
      </c>
      <c r="E35" s="115">
        <f>IF(ISERROR(C35/B35),"x",C35/B35)</f>
        <v>0.843108504398827</v>
      </c>
      <c r="F35" s="116">
        <f>IF(ISERROR(D35/C35),"x",D35/C35)</f>
        <v>0.49043478260869566</v>
      </c>
      <c r="G35" s="28">
        <v>337</v>
      </c>
      <c r="H35" s="28">
        <v>323</v>
      </c>
      <c r="I35" s="28">
        <v>265</v>
      </c>
      <c r="J35" s="117">
        <f>IF(ISERROR(H35/G35),"x",H35/G35)</f>
        <v>0.9584569732937686</v>
      </c>
      <c r="K35" s="118">
        <f>IF(ISERROR(I35/H35),"x",I35/H35)</f>
        <v>0.8204334365325078</v>
      </c>
      <c r="L35" s="28">
        <v>1016</v>
      </c>
      <c r="M35" s="28">
        <v>897</v>
      </c>
      <c r="N35" s="28">
        <v>547</v>
      </c>
      <c r="O35" s="117">
        <f>IF(ISERROR(M35/L35),"x",M35/L35)</f>
        <v>0.8828740157480315</v>
      </c>
      <c r="P35" s="118">
        <f>IF(ISERROR(N35/M35),"x",N35/M35)</f>
        <v>0.6098104793756968</v>
      </c>
    </row>
    <row r="36" spans="1:16" ht="15.75">
      <c r="A36" s="50" t="s">
        <v>83</v>
      </c>
      <c r="B36" s="28">
        <v>2556</v>
      </c>
      <c r="C36" s="28">
        <v>1514</v>
      </c>
      <c r="D36" s="28">
        <v>762</v>
      </c>
      <c r="E36" s="115">
        <f t="shared" si="0"/>
        <v>0.5923317683881064</v>
      </c>
      <c r="F36" s="116">
        <f t="shared" si="0"/>
        <v>0.5033025099075297</v>
      </c>
      <c r="G36" s="28">
        <v>819</v>
      </c>
      <c r="H36" s="28">
        <v>671</v>
      </c>
      <c r="I36" s="28">
        <v>532</v>
      </c>
      <c r="J36" s="117">
        <f t="shared" si="1"/>
        <v>0.8192918192918193</v>
      </c>
      <c r="K36" s="118">
        <f t="shared" si="1"/>
        <v>0.7928464977645305</v>
      </c>
      <c r="L36" s="28">
        <v>3336</v>
      </c>
      <c r="M36" s="28">
        <v>2168</v>
      </c>
      <c r="N36" s="28">
        <v>1291</v>
      </c>
      <c r="O36" s="117">
        <f t="shared" si="2"/>
        <v>0.6498800959232613</v>
      </c>
      <c r="P36" s="118">
        <f t="shared" si="2"/>
        <v>0.5954797047970479</v>
      </c>
    </row>
    <row r="37" spans="1:16" ht="15.75">
      <c r="A37" s="50" t="s">
        <v>89</v>
      </c>
      <c r="B37" s="28">
        <v>1762</v>
      </c>
      <c r="C37" s="28">
        <v>441</v>
      </c>
      <c r="D37" s="28">
        <v>328</v>
      </c>
      <c r="E37" s="115">
        <f t="shared" si="0"/>
        <v>0.25028376844494893</v>
      </c>
      <c r="F37" s="116">
        <f t="shared" si="0"/>
        <v>0.7437641723356009</v>
      </c>
      <c r="G37" s="28">
        <v>937</v>
      </c>
      <c r="H37" s="28">
        <v>354</v>
      </c>
      <c r="I37" s="28">
        <v>327</v>
      </c>
      <c r="J37" s="117">
        <f t="shared" si="1"/>
        <v>0.37780149413020275</v>
      </c>
      <c r="K37" s="118">
        <f t="shared" si="1"/>
        <v>0.923728813559322</v>
      </c>
      <c r="L37" s="28">
        <v>2699</v>
      </c>
      <c r="M37" s="28">
        <v>795</v>
      </c>
      <c r="N37" s="28">
        <v>655</v>
      </c>
      <c r="O37" s="117">
        <f t="shared" si="2"/>
        <v>0.2945535383475361</v>
      </c>
      <c r="P37" s="118">
        <f t="shared" si="2"/>
        <v>0.8238993710691824</v>
      </c>
    </row>
    <row r="38" spans="1:16" ht="15.75">
      <c r="A38" s="47" t="s">
        <v>90</v>
      </c>
      <c r="B38" s="66">
        <v>605</v>
      </c>
      <c r="C38" s="66">
        <v>377</v>
      </c>
      <c r="D38" s="66">
        <v>279</v>
      </c>
      <c r="E38" s="119">
        <f t="shared" si="0"/>
        <v>0.6231404958677685</v>
      </c>
      <c r="F38" s="119">
        <f t="shared" si="0"/>
        <v>0.7400530503978779</v>
      </c>
      <c r="G38" s="66">
        <v>95</v>
      </c>
      <c r="H38" s="66">
        <v>48</v>
      </c>
      <c r="I38" s="66">
        <v>38</v>
      </c>
      <c r="J38" s="120">
        <f t="shared" si="1"/>
        <v>0.5052631578947369</v>
      </c>
      <c r="K38" s="120">
        <f t="shared" si="1"/>
        <v>0.7916666666666666</v>
      </c>
      <c r="L38" s="66">
        <v>696</v>
      </c>
      <c r="M38" s="66">
        <v>424</v>
      </c>
      <c r="N38" s="66">
        <v>317</v>
      </c>
      <c r="O38" s="120">
        <f t="shared" si="2"/>
        <v>0.6091954022988506</v>
      </c>
      <c r="P38" s="120">
        <f t="shared" si="2"/>
        <v>0.7476415094339622</v>
      </c>
    </row>
    <row r="39" spans="1:16" ht="15.75">
      <c r="A39" s="47" t="s">
        <v>91</v>
      </c>
      <c r="B39" s="66">
        <v>6419</v>
      </c>
      <c r="C39" s="66">
        <v>3011</v>
      </c>
      <c r="D39" s="66">
        <v>2035</v>
      </c>
      <c r="E39" s="119">
        <f t="shared" si="0"/>
        <v>0.46907618009035673</v>
      </c>
      <c r="F39" s="119">
        <f t="shared" si="0"/>
        <v>0.6758551976087679</v>
      </c>
      <c r="G39" s="66">
        <v>2848</v>
      </c>
      <c r="H39" s="66">
        <v>1886</v>
      </c>
      <c r="I39" s="66">
        <v>1665</v>
      </c>
      <c r="J39" s="120">
        <f t="shared" si="1"/>
        <v>0.6622191011235955</v>
      </c>
      <c r="K39" s="120">
        <f t="shared" si="1"/>
        <v>0.8828207847295865</v>
      </c>
      <c r="L39" s="66">
        <v>9128</v>
      </c>
      <c r="M39" s="66">
        <v>4895</v>
      </c>
      <c r="N39" s="66">
        <v>3699</v>
      </c>
      <c r="O39" s="120">
        <f t="shared" si="2"/>
        <v>0.536262050832603</v>
      </c>
      <c r="P39" s="120">
        <f t="shared" si="2"/>
        <v>0.7556690500510725</v>
      </c>
    </row>
    <row r="40" spans="1:16" ht="15.75">
      <c r="A40" s="50" t="s">
        <v>88</v>
      </c>
      <c r="B40" s="28">
        <v>1270</v>
      </c>
      <c r="C40" s="28">
        <v>845</v>
      </c>
      <c r="D40" s="28">
        <v>490</v>
      </c>
      <c r="E40" s="115">
        <f t="shared" si="0"/>
        <v>0.6653543307086615</v>
      </c>
      <c r="F40" s="116">
        <f t="shared" si="0"/>
        <v>0.5798816568047337</v>
      </c>
      <c r="G40" s="28">
        <v>239</v>
      </c>
      <c r="H40" s="28">
        <v>126</v>
      </c>
      <c r="I40" s="28">
        <v>110</v>
      </c>
      <c r="J40" s="117">
        <f t="shared" si="1"/>
        <v>0.5271966527196653</v>
      </c>
      <c r="K40" s="118">
        <f t="shared" si="1"/>
        <v>0.873015873015873</v>
      </c>
      <c r="L40" s="28">
        <v>1494</v>
      </c>
      <c r="M40" s="28">
        <v>971</v>
      </c>
      <c r="N40" s="28">
        <v>600</v>
      </c>
      <c r="O40" s="117">
        <f t="shared" si="2"/>
        <v>0.6499330655957162</v>
      </c>
      <c r="P40" s="118">
        <f t="shared" si="2"/>
        <v>0.6179196704428425</v>
      </c>
    </row>
    <row r="41" spans="1:16" ht="15.75">
      <c r="A41" s="50" t="s">
        <v>83</v>
      </c>
      <c r="B41" s="28">
        <v>2772</v>
      </c>
      <c r="C41" s="28">
        <v>937</v>
      </c>
      <c r="D41" s="28">
        <v>650</v>
      </c>
      <c r="E41" s="115">
        <f t="shared" si="0"/>
        <v>0.338023088023088</v>
      </c>
      <c r="F41" s="116">
        <f t="shared" si="0"/>
        <v>0.6937033084311632</v>
      </c>
      <c r="G41" s="28">
        <v>1102</v>
      </c>
      <c r="H41" s="28">
        <v>702</v>
      </c>
      <c r="I41" s="28">
        <v>625</v>
      </c>
      <c r="J41" s="117">
        <f t="shared" si="1"/>
        <v>0.6370235934664247</v>
      </c>
      <c r="K41" s="118">
        <f t="shared" si="1"/>
        <v>0.8903133903133903</v>
      </c>
      <c r="L41" s="28">
        <v>3754</v>
      </c>
      <c r="M41" s="28">
        <v>1637</v>
      </c>
      <c r="N41" s="28">
        <v>1274</v>
      </c>
      <c r="O41" s="117">
        <f t="shared" si="2"/>
        <v>0.43606819392647844</v>
      </c>
      <c r="P41" s="118">
        <f t="shared" si="2"/>
        <v>0.7782529016493586</v>
      </c>
    </row>
    <row r="42" spans="1:16" ht="15.75">
      <c r="A42" s="50" t="s">
        <v>92</v>
      </c>
      <c r="B42" s="28">
        <v>1025</v>
      </c>
      <c r="C42" s="28">
        <v>393</v>
      </c>
      <c r="D42" s="28">
        <v>306</v>
      </c>
      <c r="E42" s="115">
        <f t="shared" si="0"/>
        <v>0.38341463414634147</v>
      </c>
      <c r="F42" s="116">
        <f t="shared" si="0"/>
        <v>0.7786259541984732</v>
      </c>
      <c r="G42" s="28">
        <v>883</v>
      </c>
      <c r="H42" s="28">
        <v>611</v>
      </c>
      <c r="I42" s="28">
        <v>505</v>
      </c>
      <c r="J42" s="117">
        <f t="shared" si="1"/>
        <v>0.6919592298980748</v>
      </c>
      <c r="K42" s="118">
        <f t="shared" si="1"/>
        <v>0.8265139116202946</v>
      </c>
      <c r="L42" s="28">
        <v>1904</v>
      </c>
      <c r="M42" s="28">
        <v>1004</v>
      </c>
      <c r="N42" s="28">
        <v>811</v>
      </c>
      <c r="O42" s="117">
        <f t="shared" si="2"/>
        <v>0.5273109243697479</v>
      </c>
      <c r="P42" s="118">
        <f t="shared" si="2"/>
        <v>0.8077689243027888</v>
      </c>
    </row>
    <row r="43" spans="1:16" ht="15.75">
      <c r="A43" s="50" t="s">
        <v>75</v>
      </c>
      <c r="B43" s="28">
        <v>928</v>
      </c>
      <c r="C43" s="28">
        <v>495</v>
      </c>
      <c r="D43" s="28">
        <v>364</v>
      </c>
      <c r="E43" s="115">
        <f t="shared" si="0"/>
        <v>0.5334051724137931</v>
      </c>
      <c r="F43" s="116">
        <f t="shared" si="0"/>
        <v>0.7353535353535353</v>
      </c>
      <c r="G43" s="28">
        <v>498</v>
      </c>
      <c r="H43" s="28">
        <v>348</v>
      </c>
      <c r="I43" s="28">
        <v>327</v>
      </c>
      <c r="J43" s="117">
        <f t="shared" si="1"/>
        <v>0.6987951807228916</v>
      </c>
      <c r="K43" s="118">
        <f t="shared" si="1"/>
        <v>0.9396551724137931</v>
      </c>
      <c r="L43" s="28">
        <v>1426</v>
      </c>
      <c r="M43" s="28">
        <v>843</v>
      </c>
      <c r="N43" s="28">
        <v>691</v>
      </c>
      <c r="O43" s="117">
        <f t="shared" si="2"/>
        <v>0.591164095371669</v>
      </c>
      <c r="P43" s="118">
        <f t="shared" si="2"/>
        <v>0.8196915776986952</v>
      </c>
    </row>
    <row r="44" spans="1:16" ht="15.75">
      <c r="A44" s="50" t="s">
        <v>93</v>
      </c>
      <c r="B44" s="28">
        <v>424</v>
      </c>
      <c r="C44" s="28">
        <v>341</v>
      </c>
      <c r="D44" s="28">
        <v>225</v>
      </c>
      <c r="E44" s="115">
        <f t="shared" si="0"/>
        <v>0.8042452830188679</v>
      </c>
      <c r="F44" s="116">
        <f t="shared" si="0"/>
        <v>0.6598240469208211</v>
      </c>
      <c r="G44" s="28">
        <v>126</v>
      </c>
      <c r="H44" s="28">
        <v>99</v>
      </c>
      <c r="I44" s="28">
        <v>98</v>
      </c>
      <c r="J44" s="117">
        <f t="shared" si="1"/>
        <v>0.7857142857142857</v>
      </c>
      <c r="K44" s="118">
        <f t="shared" si="1"/>
        <v>0.98989898989899</v>
      </c>
      <c r="L44" s="28">
        <v>550</v>
      </c>
      <c r="M44" s="28">
        <v>440</v>
      </c>
      <c r="N44" s="28">
        <v>323</v>
      </c>
      <c r="O44" s="117">
        <f t="shared" si="2"/>
        <v>0.8</v>
      </c>
      <c r="P44" s="118">
        <f t="shared" si="2"/>
        <v>0.7340909090909091</v>
      </c>
    </row>
    <row r="45" spans="1:16" ht="15.75">
      <c r="A45" s="47" t="s">
        <v>159</v>
      </c>
      <c r="B45" s="66">
        <v>8845</v>
      </c>
      <c r="C45" s="66">
        <v>4228</v>
      </c>
      <c r="D45" s="66">
        <v>2476</v>
      </c>
      <c r="E45" s="119">
        <f t="shared" si="0"/>
        <v>0.47801017524024875</v>
      </c>
      <c r="F45" s="119">
        <f t="shared" si="0"/>
        <v>0.5856196783349101</v>
      </c>
      <c r="G45" s="66">
        <v>3151</v>
      </c>
      <c r="H45" s="66">
        <v>2478</v>
      </c>
      <c r="I45" s="66">
        <v>1584</v>
      </c>
      <c r="J45" s="120">
        <f t="shared" si="1"/>
        <v>0.7864170104728657</v>
      </c>
      <c r="K45" s="120">
        <f t="shared" si="1"/>
        <v>0.639225181598063</v>
      </c>
      <c r="L45" s="66">
        <v>11908</v>
      </c>
      <c r="M45" s="66">
        <v>6684</v>
      </c>
      <c r="N45" s="66">
        <v>4057</v>
      </c>
      <c r="O45" s="120">
        <f t="shared" si="2"/>
        <v>0.5613033254954652</v>
      </c>
      <c r="P45" s="120">
        <f t="shared" si="2"/>
        <v>0.6069718731298623</v>
      </c>
    </row>
    <row r="46" spans="1:16" ht="15.75">
      <c r="A46" s="50" t="s">
        <v>88</v>
      </c>
      <c r="B46" s="28">
        <v>1432</v>
      </c>
      <c r="C46" s="28">
        <v>1219</v>
      </c>
      <c r="D46" s="28">
        <v>537</v>
      </c>
      <c r="E46" s="115">
        <f t="shared" si="0"/>
        <v>0.8512569832402235</v>
      </c>
      <c r="F46" s="116">
        <f t="shared" si="0"/>
        <v>0.44052502050861364</v>
      </c>
      <c r="G46" s="28">
        <v>704</v>
      </c>
      <c r="H46" s="28">
        <v>446</v>
      </c>
      <c r="I46" s="28">
        <v>350</v>
      </c>
      <c r="J46" s="117">
        <f t="shared" si="1"/>
        <v>0.6335227272727273</v>
      </c>
      <c r="K46" s="118">
        <f t="shared" si="1"/>
        <v>0.7847533632286996</v>
      </c>
      <c r="L46" s="28">
        <v>2113</v>
      </c>
      <c r="M46" s="28">
        <v>1652</v>
      </c>
      <c r="N46" s="28">
        <v>887</v>
      </c>
      <c r="O46" s="117">
        <f t="shared" si="2"/>
        <v>0.7818267865593942</v>
      </c>
      <c r="P46" s="118">
        <f t="shared" si="2"/>
        <v>0.5369249394673123</v>
      </c>
    </row>
    <row r="47" spans="1:16" ht="15.75">
      <c r="A47" s="50" t="s">
        <v>95</v>
      </c>
      <c r="B47" s="28">
        <v>2535</v>
      </c>
      <c r="C47" s="28">
        <v>840</v>
      </c>
      <c r="D47" s="28">
        <v>420</v>
      </c>
      <c r="E47" s="115">
        <f t="shared" si="0"/>
        <v>0.33136094674556216</v>
      </c>
      <c r="F47" s="116">
        <f t="shared" si="0"/>
        <v>0.5</v>
      </c>
      <c r="G47" s="28">
        <v>620</v>
      </c>
      <c r="H47" s="28">
        <v>774</v>
      </c>
      <c r="I47" s="28">
        <v>311</v>
      </c>
      <c r="J47" s="117">
        <f t="shared" si="1"/>
        <v>1.2483870967741935</v>
      </c>
      <c r="K47" s="118">
        <f t="shared" si="1"/>
        <v>0.4018087855297158</v>
      </c>
      <c r="L47" s="28">
        <v>3152</v>
      </c>
      <c r="M47" s="28">
        <v>1614</v>
      </c>
      <c r="N47" s="28">
        <v>731</v>
      </c>
      <c r="O47" s="117">
        <f t="shared" si="2"/>
        <v>0.5120558375634517</v>
      </c>
      <c r="P47" s="118">
        <f t="shared" si="2"/>
        <v>0.45291201982651796</v>
      </c>
    </row>
    <row r="48" spans="1:16" ht="15.75">
      <c r="A48" s="50" t="s">
        <v>72</v>
      </c>
      <c r="B48" s="28">
        <v>1391</v>
      </c>
      <c r="C48" s="28">
        <v>270</v>
      </c>
      <c r="D48" s="28">
        <v>194</v>
      </c>
      <c r="E48" s="115">
        <f t="shared" si="0"/>
        <v>0.19410496046010065</v>
      </c>
      <c r="F48" s="116">
        <f t="shared" si="0"/>
        <v>0.7185185185185186</v>
      </c>
      <c r="G48" s="28">
        <v>0</v>
      </c>
      <c r="H48" s="28">
        <v>0</v>
      </c>
      <c r="I48" s="28">
        <v>0</v>
      </c>
      <c r="J48" s="117" t="str">
        <f t="shared" si="1"/>
        <v>x</v>
      </c>
      <c r="K48" s="118" t="str">
        <f t="shared" si="1"/>
        <v>x</v>
      </c>
      <c r="L48" s="28">
        <v>1391</v>
      </c>
      <c r="M48" s="28">
        <v>270</v>
      </c>
      <c r="N48" s="28">
        <v>194</v>
      </c>
      <c r="O48" s="117">
        <f t="shared" si="2"/>
        <v>0.19410496046010065</v>
      </c>
      <c r="P48" s="118">
        <f t="shared" si="2"/>
        <v>0.7185185185185186</v>
      </c>
    </row>
    <row r="49" spans="1:16" ht="15.75">
      <c r="A49" s="50" t="s">
        <v>270</v>
      </c>
      <c r="B49" s="28">
        <v>450</v>
      </c>
      <c r="C49" s="28">
        <v>204</v>
      </c>
      <c r="D49" s="28">
        <v>139</v>
      </c>
      <c r="E49" s="115">
        <f t="shared" si="0"/>
        <v>0.4533333333333333</v>
      </c>
      <c r="F49" s="116">
        <f t="shared" si="0"/>
        <v>0.6813725490196079</v>
      </c>
      <c r="G49" s="28">
        <v>65</v>
      </c>
      <c r="H49" s="28">
        <v>34</v>
      </c>
      <c r="I49" s="28">
        <v>30</v>
      </c>
      <c r="J49" s="117">
        <f t="shared" si="1"/>
        <v>0.5230769230769231</v>
      </c>
      <c r="K49" s="118">
        <f t="shared" si="1"/>
        <v>0.8823529411764706</v>
      </c>
      <c r="L49" s="28">
        <v>495</v>
      </c>
      <c r="M49" s="28">
        <v>238</v>
      </c>
      <c r="N49" s="28">
        <v>169</v>
      </c>
      <c r="O49" s="117">
        <f t="shared" si="2"/>
        <v>0.4808080808080808</v>
      </c>
      <c r="P49" s="118">
        <f t="shared" si="2"/>
        <v>0.7100840336134454</v>
      </c>
    </row>
    <row r="50" spans="1:16" ht="15.75">
      <c r="A50" s="50" t="s">
        <v>96</v>
      </c>
      <c r="B50" s="28">
        <v>606</v>
      </c>
      <c r="C50" s="28">
        <v>386</v>
      </c>
      <c r="D50" s="28">
        <v>244</v>
      </c>
      <c r="E50" s="115">
        <f t="shared" si="0"/>
        <v>0.636963696369637</v>
      </c>
      <c r="F50" s="116">
        <f t="shared" si="0"/>
        <v>0.6321243523316062</v>
      </c>
      <c r="G50" s="28">
        <v>0</v>
      </c>
      <c r="H50" s="28">
        <v>0</v>
      </c>
      <c r="I50" s="28">
        <v>0</v>
      </c>
      <c r="J50" s="117" t="str">
        <f t="shared" si="1"/>
        <v>x</v>
      </c>
      <c r="K50" s="118" t="str">
        <f t="shared" si="1"/>
        <v>x</v>
      </c>
      <c r="L50" s="28">
        <v>606</v>
      </c>
      <c r="M50" s="28">
        <v>386</v>
      </c>
      <c r="N50" s="28">
        <v>244</v>
      </c>
      <c r="O50" s="117">
        <f t="shared" si="2"/>
        <v>0.636963696369637</v>
      </c>
      <c r="P50" s="118">
        <f t="shared" si="2"/>
        <v>0.6321243523316062</v>
      </c>
    </row>
    <row r="51" spans="1:16" ht="15.75">
      <c r="A51" s="50" t="s">
        <v>97</v>
      </c>
      <c r="B51" s="28">
        <v>1010</v>
      </c>
      <c r="C51" s="28">
        <v>498</v>
      </c>
      <c r="D51" s="28">
        <v>364</v>
      </c>
      <c r="E51" s="115">
        <f t="shared" si="0"/>
        <v>0.49306930693069306</v>
      </c>
      <c r="F51" s="116">
        <f t="shared" si="0"/>
        <v>0.7309236947791165</v>
      </c>
      <c r="G51" s="28">
        <v>704</v>
      </c>
      <c r="H51" s="28">
        <v>390</v>
      </c>
      <c r="I51" s="28">
        <v>331</v>
      </c>
      <c r="J51" s="117">
        <f t="shared" si="1"/>
        <v>0.5539772727272727</v>
      </c>
      <c r="K51" s="118">
        <f t="shared" si="1"/>
        <v>0.8487179487179487</v>
      </c>
      <c r="L51" s="28">
        <v>1693</v>
      </c>
      <c r="M51" s="28">
        <v>884</v>
      </c>
      <c r="N51" s="28">
        <v>695</v>
      </c>
      <c r="O51" s="117">
        <f t="shared" si="2"/>
        <v>0.5221500295333728</v>
      </c>
      <c r="P51" s="118">
        <f t="shared" si="2"/>
        <v>0.7861990950226244</v>
      </c>
    </row>
    <row r="52" spans="1:16" ht="15.75">
      <c r="A52" s="50" t="s">
        <v>75</v>
      </c>
      <c r="B52" s="28">
        <v>1421</v>
      </c>
      <c r="C52" s="28">
        <v>811</v>
      </c>
      <c r="D52" s="28">
        <v>578</v>
      </c>
      <c r="E52" s="115">
        <f t="shared" si="0"/>
        <v>0.5707248416608023</v>
      </c>
      <c r="F52" s="116">
        <f t="shared" si="0"/>
        <v>0.7127003699136868</v>
      </c>
      <c r="G52" s="28">
        <v>1058</v>
      </c>
      <c r="H52" s="28">
        <v>834</v>
      </c>
      <c r="I52" s="28">
        <v>562</v>
      </c>
      <c r="J52" s="117">
        <f t="shared" si="1"/>
        <v>0.7882797731568998</v>
      </c>
      <c r="K52" s="118">
        <f t="shared" si="1"/>
        <v>0.6738609112709832</v>
      </c>
      <c r="L52" s="28">
        <v>2458</v>
      </c>
      <c r="M52" s="28">
        <v>1640</v>
      </c>
      <c r="N52" s="28">
        <v>1137</v>
      </c>
      <c r="O52" s="117">
        <f t="shared" si="2"/>
        <v>0.6672091131000814</v>
      </c>
      <c r="P52" s="118">
        <f t="shared" si="2"/>
        <v>0.6932926829268292</v>
      </c>
    </row>
    <row r="53" spans="1:16" ht="15.75">
      <c r="A53" s="47" t="s">
        <v>160</v>
      </c>
      <c r="B53" s="66">
        <v>5496</v>
      </c>
      <c r="C53" s="66">
        <v>2137</v>
      </c>
      <c r="D53" s="66">
        <v>1124</v>
      </c>
      <c r="E53" s="119">
        <f t="shared" si="0"/>
        <v>0.3888282387190684</v>
      </c>
      <c r="F53" s="119">
        <f t="shared" si="0"/>
        <v>0.5259709873654657</v>
      </c>
      <c r="G53" s="66">
        <v>1720</v>
      </c>
      <c r="H53" s="66">
        <v>765</v>
      </c>
      <c r="I53" s="66">
        <v>637</v>
      </c>
      <c r="J53" s="120">
        <f t="shared" si="1"/>
        <v>0.44476744186046513</v>
      </c>
      <c r="K53" s="120">
        <f t="shared" si="1"/>
        <v>0.8326797385620915</v>
      </c>
      <c r="L53" s="66">
        <v>7192</v>
      </c>
      <c r="M53" s="66">
        <v>2899</v>
      </c>
      <c r="N53" s="66">
        <v>1760</v>
      </c>
      <c r="O53" s="120">
        <f t="shared" si="2"/>
        <v>0.40308676307007785</v>
      </c>
      <c r="P53" s="120">
        <f t="shared" si="2"/>
        <v>0.6071058985857192</v>
      </c>
    </row>
    <row r="54" spans="1:16" ht="15.75">
      <c r="A54" s="50" t="s">
        <v>99</v>
      </c>
      <c r="B54" s="28">
        <v>60</v>
      </c>
      <c r="C54" s="28">
        <v>51</v>
      </c>
      <c r="D54" s="28">
        <v>38</v>
      </c>
      <c r="E54" s="115">
        <f t="shared" si="0"/>
        <v>0.85</v>
      </c>
      <c r="F54" s="116">
        <f t="shared" si="0"/>
        <v>0.7450980392156863</v>
      </c>
      <c r="G54" s="28">
        <v>83</v>
      </c>
      <c r="H54" s="28">
        <v>76</v>
      </c>
      <c r="I54" s="28">
        <v>75</v>
      </c>
      <c r="J54" s="117">
        <f t="shared" si="1"/>
        <v>0.9156626506024096</v>
      </c>
      <c r="K54" s="118">
        <f t="shared" si="1"/>
        <v>0.9868421052631579</v>
      </c>
      <c r="L54" s="28">
        <v>143</v>
      </c>
      <c r="M54" s="28">
        <v>127</v>
      </c>
      <c r="N54" s="28">
        <v>113</v>
      </c>
      <c r="O54" s="117">
        <f t="shared" si="2"/>
        <v>0.8881118881118881</v>
      </c>
      <c r="P54" s="118">
        <f t="shared" si="2"/>
        <v>0.889763779527559</v>
      </c>
    </row>
    <row r="55" spans="1:16" ht="15.75">
      <c r="A55" s="50" t="s">
        <v>100</v>
      </c>
      <c r="B55" s="28">
        <v>481</v>
      </c>
      <c r="C55" s="28">
        <v>238</v>
      </c>
      <c r="D55" s="28">
        <v>159</v>
      </c>
      <c r="E55" s="115">
        <f t="shared" si="0"/>
        <v>0.49480249480249483</v>
      </c>
      <c r="F55" s="116">
        <f t="shared" si="0"/>
        <v>0.6680672268907563</v>
      </c>
      <c r="G55" s="28">
        <v>437</v>
      </c>
      <c r="H55" s="28">
        <v>300</v>
      </c>
      <c r="I55" s="28">
        <v>263</v>
      </c>
      <c r="J55" s="117">
        <f t="shared" si="1"/>
        <v>0.6864988558352403</v>
      </c>
      <c r="K55" s="118">
        <f t="shared" si="1"/>
        <v>0.8766666666666667</v>
      </c>
      <c r="L55" s="28">
        <v>918</v>
      </c>
      <c r="M55" s="28">
        <v>538</v>
      </c>
      <c r="N55" s="28">
        <v>422</v>
      </c>
      <c r="O55" s="117">
        <f t="shared" si="2"/>
        <v>0.5860566448801743</v>
      </c>
      <c r="P55" s="118">
        <f t="shared" si="2"/>
        <v>0.7843866171003717</v>
      </c>
    </row>
    <row r="56" spans="1:16" ht="15.75">
      <c r="A56" s="50" t="s">
        <v>72</v>
      </c>
      <c r="B56" s="28">
        <v>1492</v>
      </c>
      <c r="C56" s="28">
        <v>533</v>
      </c>
      <c r="D56" s="28">
        <v>286</v>
      </c>
      <c r="E56" s="115">
        <f t="shared" si="0"/>
        <v>0.35723860589812334</v>
      </c>
      <c r="F56" s="116">
        <f t="shared" si="0"/>
        <v>0.5365853658536586</v>
      </c>
      <c r="G56" s="28">
        <v>0</v>
      </c>
      <c r="H56" s="28">
        <v>0</v>
      </c>
      <c r="I56" s="28">
        <v>0</v>
      </c>
      <c r="J56" s="117" t="str">
        <f t="shared" si="1"/>
        <v>x</v>
      </c>
      <c r="K56" s="118" t="str">
        <f t="shared" si="1"/>
        <v>x</v>
      </c>
      <c r="L56" s="28">
        <v>1492</v>
      </c>
      <c r="M56" s="28">
        <v>533</v>
      </c>
      <c r="N56" s="28">
        <v>286</v>
      </c>
      <c r="O56" s="117">
        <f t="shared" si="2"/>
        <v>0.35723860589812334</v>
      </c>
      <c r="P56" s="118">
        <f t="shared" si="2"/>
        <v>0.5365853658536586</v>
      </c>
    </row>
    <row r="57" spans="1:16" ht="15.75">
      <c r="A57" s="50" t="s">
        <v>83</v>
      </c>
      <c r="B57" s="28">
        <v>1851</v>
      </c>
      <c r="C57" s="28">
        <v>510</v>
      </c>
      <c r="D57" s="28">
        <v>223</v>
      </c>
      <c r="E57" s="115">
        <f t="shared" si="0"/>
        <v>0.2755267423014587</v>
      </c>
      <c r="F57" s="116">
        <f t="shared" si="0"/>
        <v>0.4372549019607843</v>
      </c>
      <c r="G57" s="28">
        <v>305</v>
      </c>
      <c r="H57" s="28">
        <v>110</v>
      </c>
      <c r="I57" s="28">
        <v>75</v>
      </c>
      <c r="J57" s="117">
        <f t="shared" si="1"/>
        <v>0.36065573770491804</v>
      </c>
      <c r="K57" s="118">
        <f t="shared" si="1"/>
        <v>0.6818181818181818</v>
      </c>
      <c r="L57" s="28">
        <v>2153</v>
      </c>
      <c r="M57" s="28">
        <v>618</v>
      </c>
      <c r="N57" s="28">
        <v>297</v>
      </c>
      <c r="O57" s="117">
        <f t="shared" si="2"/>
        <v>0.2870413376683697</v>
      </c>
      <c r="P57" s="118">
        <f t="shared" si="2"/>
        <v>0.48058252427184467</v>
      </c>
    </row>
    <row r="58" spans="1:16" ht="15.75">
      <c r="A58" s="50" t="s">
        <v>75</v>
      </c>
      <c r="B58" s="28">
        <v>1612</v>
      </c>
      <c r="C58" s="28">
        <v>805</v>
      </c>
      <c r="D58" s="28">
        <v>418</v>
      </c>
      <c r="E58" s="115">
        <f t="shared" si="0"/>
        <v>0.4993796526054591</v>
      </c>
      <c r="F58" s="116">
        <f t="shared" si="0"/>
        <v>0.5192546583850932</v>
      </c>
      <c r="G58" s="28">
        <v>895</v>
      </c>
      <c r="H58" s="28">
        <v>279</v>
      </c>
      <c r="I58" s="28">
        <v>224</v>
      </c>
      <c r="J58" s="117">
        <f t="shared" si="1"/>
        <v>0.311731843575419</v>
      </c>
      <c r="K58" s="118">
        <f t="shared" si="1"/>
        <v>0.8028673835125448</v>
      </c>
      <c r="L58" s="28">
        <v>2486</v>
      </c>
      <c r="M58" s="28">
        <v>1083</v>
      </c>
      <c r="N58" s="28">
        <v>642</v>
      </c>
      <c r="O58" s="117">
        <f t="shared" si="2"/>
        <v>0.4356395816572808</v>
      </c>
      <c r="P58" s="118">
        <f t="shared" si="2"/>
        <v>0.592797783933518</v>
      </c>
    </row>
    <row r="59" spans="1:16" ht="15.75">
      <c r="A59" s="47" t="s">
        <v>101</v>
      </c>
      <c r="B59" s="66">
        <v>9684</v>
      </c>
      <c r="C59" s="66">
        <v>6845</v>
      </c>
      <c r="D59" s="66">
        <v>4385</v>
      </c>
      <c r="E59" s="119">
        <f t="shared" si="0"/>
        <v>0.7068360181743082</v>
      </c>
      <c r="F59" s="119">
        <f t="shared" si="0"/>
        <v>0.6406135865595325</v>
      </c>
      <c r="G59" s="66">
        <v>1660</v>
      </c>
      <c r="H59" s="66">
        <v>1466</v>
      </c>
      <c r="I59" s="66">
        <v>791</v>
      </c>
      <c r="J59" s="120">
        <f t="shared" si="1"/>
        <v>0.8831325301204819</v>
      </c>
      <c r="K59" s="120">
        <f t="shared" si="1"/>
        <v>0.5395634379263301</v>
      </c>
      <c r="L59" s="66">
        <v>11312</v>
      </c>
      <c r="M59" s="66">
        <v>8290</v>
      </c>
      <c r="N59" s="66">
        <v>5176</v>
      </c>
      <c r="O59" s="120">
        <f t="shared" si="2"/>
        <v>0.7328500707213579</v>
      </c>
      <c r="P59" s="120">
        <f t="shared" si="2"/>
        <v>0.6243667068757539</v>
      </c>
    </row>
    <row r="60" spans="1:16" ht="15.75">
      <c r="A60" s="50" t="s">
        <v>277</v>
      </c>
      <c r="B60" s="28">
        <v>1177</v>
      </c>
      <c r="C60" s="28">
        <v>452</v>
      </c>
      <c r="D60" s="28">
        <v>333</v>
      </c>
      <c r="E60" s="115">
        <f t="shared" si="0"/>
        <v>0.38402718776550554</v>
      </c>
      <c r="F60" s="116">
        <f t="shared" si="0"/>
        <v>0.7367256637168141</v>
      </c>
      <c r="G60" s="28">
        <v>0</v>
      </c>
      <c r="H60" s="28">
        <v>0</v>
      </c>
      <c r="I60" s="28">
        <v>0</v>
      </c>
      <c r="J60" s="117" t="str">
        <f t="shared" si="1"/>
        <v>x</v>
      </c>
      <c r="K60" s="118" t="str">
        <f t="shared" si="1"/>
        <v>x</v>
      </c>
      <c r="L60" s="28">
        <v>1177</v>
      </c>
      <c r="M60" s="28">
        <v>452</v>
      </c>
      <c r="N60" s="28">
        <v>333</v>
      </c>
      <c r="O60" s="117">
        <f t="shared" si="2"/>
        <v>0.38402718776550554</v>
      </c>
      <c r="P60" s="118">
        <f t="shared" si="2"/>
        <v>0.7367256637168141</v>
      </c>
    </row>
    <row r="61" spans="1:16" ht="15.75">
      <c r="A61" s="50" t="s">
        <v>102</v>
      </c>
      <c r="B61" s="28">
        <v>847</v>
      </c>
      <c r="C61" s="28">
        <v>726</v>
      </c>
      <c r="D61" s="28">
        <v>477</v>
      </c>
      <c r="E61" s="115">
        <f t="shared" si="0"/>
        <v>0.8571428571428571</v>
      </c>
      <c r="F61" s="116">
        <f t="shared" si="0"/>
        <v>0.6570247933884298</v>
      </c>
      <c r="G61" s="28">
        <v>241</v>
      </c>
      <c r="H61" s="28">
        <v>236</v>
      </c>
      <c r="I61" s="28">
        <v>132</v>
      </c>
      <c r="J61" s="117">
        <f t="shared" si="1"/>
        <v>0.979253112033195</v>
      </c>
      <c r="K61" s="118">
        <f t="shared" si="1"/>
        <v>0.559322033898305</v>
      </c>
      <c r="L61" s="28">
        <v>1086</v>
      </c>
      <c r="M61" s="28">
        <v>961</v>
      </c>
      <c r="N61" s="28">
        <v>609</v>
      </c>
      <c r="O61" s="117">
        <f t="shared" si="2"/>
        <v>0.8848987108655617</v>
      </c>
      <c r="P61" s="118">
        <f t="shared" si="2"/>
        <v>0.6337148803329865</v>
      </c>
    </row>
    <row r="62" spans="1:16" ht="15.75">
      <c r="A62" s="50" t="s">
        <v>247</v>
      </c>
      <c r="B62" s="28">
        <v>2188</v>
      </c>
      <c r="C62" s="28">
        <v>1656</v>
      </c>
      <c r="D62" s="28">
        <v>626</v>
      </c>
      <c r="E62" s="115">
        <f t="shared" si="0"/>
        <v>0.7568555758683729</v>
      </c>
      <c r="F62" s="116">
        <f t="shared" si="0"/>
        <v>0.3780193236714976</v>
      </c>
      <c r="G62" s="28">
        <v>1236</v>
      </c>
      <c r="H62" s="28">
        <v>1086</v>
      </c>
      <c r="I62" s="28">
        <v>523</v>
      </c>
      <c r="J62" s="117">
        <f t="shared" si="1"/>
        <v>0.8786407766990292</v>
      </c>
      <c r="K62" s="118">
        <f t="shared" si="1"/>
        <v>0.48158379373848986</v>
      </c>
      <c r="L62" s="28">
        <v>3396</v>
      </c>
      <c r="M62" s="28">
        <v>2722</v>
      </c>
      <c r="N62" s="28">
        <v>1149</v>
      </c>
      <c r="O62" s="117">
        <f t="shared" si="2"/>
        <v>0.8015312131919906</v>
      </c>
      <c r="P62" s="118">
        <f t="shared" si="2"/>
        <v>0.42211609110947834</v>
      </c>
    </row>
    <row r="63" spans="1:16" ht="15.75">
      <c r="A63" s="50" t="s">
        <v>103</v>
      </c>
      <c r="B63" s="28">
        <v>1848</v>
      </c>
      <c r="C63" s="28">
        <v>1592</v>
      </c>
      <c r="D63" s="28">
        <v>1119</v>
      </c>
      <c r="E63" s="115">
        <f t="shared" si="0"/>
        <v>0.8614718614718615</v>
      </c>
      <c r="F63" s="116">
        <f t="shared" si="0"/>
        <v>0.7028894472361809</v>
      </c>
      <c r="G63" s="28">
        <v>0</v>
      </c>
      <c r="H63" s="28">
        <v>0</v>
      </c>
      <c r="I63" s="28">
        <v>0</v>
      </c>
      <c r="J63" s="117" t="str">
        <f t="shared" si="1"/>
        <v>x</v>
      </c>
      <c r="K63" s="118" t="str">
        <f t="shared" si="1"/>
        <v>x</v>
      </c>
      <c r="L63" s="28">
        <v>1848</v>
      </c>
      <c r="M63" s="28">
        <v>1592</v>
      </c>
      <c r="N63" s="28">
        <v>1119</v>
      </c>
      <c r="O63" s="117">
        <f t="shared" si="2"/>
        <v>0.8614718614718615</v>
      </c>
      <c r="P63" s="118">
        <f t="shared" si="2"/>
        <v>0.7028894472361809</v>
      </c>
    </row>
    <row r="64" spans="1:16" ht="15.75">
      <c r="A64" s="50" t="s">
        <v>104</v>
      </c>
      <c r="B64" s="28">
        <v>1791</v>
      </c>
      <c r="C64" s="28">
        <v>1388</v>
      </c>
      <c r="D64" s="28">
        <v>1004</v>
      </c>
      <c r="E64" s="115">
        <f t="shared" si="0"/>
        <v>0.7749860413176997</v>
      </c>
      <c r="F64" s="116">
        <f t="shared" si="0"/>
        <v>0.723342939481268</v>
      </c>
      <c r="G64" s="28">
        <v>0</v>
      </c>
      <c r="H64" s="28">
        <v>0</v>
      </c>
      <c r="I64" s="28">
        <v>0</v>
      </c>
      <c r="J64" s="117" t="str">
        <f t="shared" si="1"/>
        <v>x</v>
      </c>
      <c r="K64" s="118" t="str">
        <f t="shared" si="1"/>
        <v>x</v>
      </c>
      <c r="L64" s="28">
        <v>1791</v>
      </c>
      <c r="M64" s="28">
        <v>1388</v>
      </c>
      <c r="N64" s="28">
        <v>1004</v>
      </c>
      <c r="O64" s="117">
        <f t="shared" si="2"/>
        <v>0.7749860413176997</v>
      </c>
      <c r="P64" s="118">
        <f t="shared" si="2"/>
        <v>0.723342939481268</v>
      </c>
    </row>
    <row r="65" spans="1:16" ht="15.75">
      <c r="A65" s="50" t="s">
        <v>278</v>
      </c>
      <c r="B65" s="28">
        <v>969</v>
      </c>
      <c r="C65" s="28">
        <v>614</v>
      </c>
      <c r="D65" s="28">
        <v>475</v>
      </c>
      <c r="E65" s="115">
        <f t="shared" si="0"/>
        <v>0.6336429308565531</v>
      </c>
      <c r="F65" s="116">
        <f t="shared" si="0"/>
        <v>0.7736156351791531</v>
      </c>
      <c r="G65" s="28">
        <v>183</v>
      </c>
      <c r="H65" s="28">
        <v>144</v>
      </c>
      <c r="I65" s="28">
        <v>136</v>
      </c>
      <c r="J65" s="117">
        <f t="shared" si="1"/>
        <v>0.7868852459016393</v>
      </c>
      <c r="K65" s="118">
        <f t="shared" si="1"/>
        <v>0.9444444444444444</v>
      </c>
      <c r="L65" s="28">
        <v>1150</v>
      </c>
      <c r="M65" s="28">
        <v>758</v>
      </c>
      <c r="N65" s="28">
        <v>611</v>
      </c>
      <c r="O65" s="117">
        <f t="shared" si="2"/>
        <v>0.6591304347826087</v>
      </c>
      <c r="P65" s="118">
        <f t="shared" si="2"/>
        <v>0.8060686015831134</v>
      </c>
    </row>
    <row r="66" spans="1:16" ht="15.75">
      <c r="A66" s="50" t="s">
        <v>105</v>
      </c>
      <c r="B66" s="28">
        <v>864</v>
      </c>
      <c r="C66" s="28">
        <v>417</v>
      </c>
      <c r="D66" s="28">
        <v>351</v>
      </c>
      <c r="E66" s="115">
        <f t="shared" si="0"/>
        <v>0.4826388888888889</v>
      </c>
      <c r="F66" s="116">
        <f t="shared" si="0"/>
        <v>0.841726618705036</v>
      </c>
      <c r="G66" s="28">
        <v>0</v>
      </c>
      <c r="H66" s="28">
        <v>0</v>
      </c>
      <c r="I66" s="28">
        <v>0</v>
      </c>
      <c r="J66" s="117" t="str">
        <f t="shared" si="1"/>
        <v>x</v>
      </c>
      <c r="K66" s="118" t="str">
        <f t="shared" si="1"/>
        <v>x</v>
      </c>
      <c r="L66" s="28">
        <v>864</v>
      </c>
      <c r="M66" s="28">
        <v>417</v>
      </c>
      <c r="N66" s="28">
        <v>351</v>
      </c>
      <c r="O66" s="117">
        <f t="shared" si="2"/>
        <v>0.4826388888888889</v>
      </c>
      <c r="P66" s="118">
        <f t="shared" si="2"/>
        <v>0.841726618705036</v>
      </c>
    </row>
    <row r="67" spans="1:16" ht="15.75">
      <c r="A67" s="47" t="s">
        <v>106</v>
      </c>
      <c r="B67" s="66">
        <v>7758</v>
      </c>
      <c r="C67" s="66">
        <v>5863</v>
      </c>
      <c r="D67" s="66">
        <v>4061</v>
      </c>
      <c r="E67" s="119">
        <f t="shared" si="0"/>
        <v>0.7557360144367105</v>
      </c>
      <c r="F67" s="119">
        <f t="shared" si="0"/>
        <v>0.6926488146000341</v>
      </c>
      <c r="G67" s="66">
        <v>2013</v>
      </c>
      <c r="H67" s="66">
        <v>1644</v>
      </c>
      <c r="I67" s="66">
        <v>1406</v>
      </c>
      <c r="J67" s="120">
        <f t="shared" si="1"/>
        <v>0.8166915052160953</v>
      </c>
      <c r="K67" s="120">
        <f t="shared" si="1"/>
        <v>0.8552311435523114</v>
      </c>
      <c r="L67" s="66">
        <v>9759</v>
      </c>
      <c r="M67" s="66">
        <v>7502</v>
      </c>
      <c r="N67" s="66">
        <v>5465</v>
      </c>
      <c r="O67" s="120">
        <f t="shared" si="2"/>
        <v>0.7687263039245824</v>
      </c>
      <c r="P67" s="120">
        <f t="shared" si="2"/>
        <v>0.7284724073580379</v>
      </c>
    </row>
    <row r="68" spans="1:16" ht="15.75">
      <c r="A68" s="50" t="s">
        <v>269</v>
      </c>
      <c r="B68" s="28">
        <v>108</v>
      </c>
      <c r="C68" s="28">
        <v>60</v>
      </c>
      <c r="D68" s="28">
        <v>42</v>
      </c>
      <c r="E68" s="115">
        <f aca="true" t="shared" si="3" ref="E68:F131">IF(ISERROR(C68/B68),"x",C68/B68)</f>
        <v>0.5555555555555556</v>
      </c>
      <c r="F68" s="116">
        <f t="shared" si="3"/>
        <v>0.7</v>
      </c>
      <c r="G68" s="28">
        <v>1</v>
      </c>
      <c r="H68" s="28">
        <v>1</v>
      </c>
      <c r="I68" s="28">
        <v>1</v>
      </c>
      <c r="J68" s="117">
        <f aca="true" t="shared" si="4" ref="J68:K130">IF(ISERROR(H68/G68),"x",H68/G68)</f>
        <v>1</v>
      </c>
      <c r="K68" s="118">
        <f t="shared" si="4"/>
        <v>1</v>
      </c>
      <c r="L68" s="28">
        <v>109</v>
      </c>
      <c r="M68" s="28">
        <v>61</v>
      </c>
      <c r="N68" s="28">
        <v>43</v>
      </c>
      <c r="O68" s="117">
        <f aca="true" t="shared" si="5" ref="O68:P130">IF(ISERROR(M68/L68),"x",M68/L68)</f>
        <v>0.5596330275229358</v>
      </c>
      <c r="P68" s="118">
        <f t="shared" si="5"/>
        <v>0.7049180327868853</v>
      </c>
    </row>
    <row r="69" spans="1:16" ht="15.75">
      <c r="A69" s="50" t="s">
        <v>107</v>
      </c>
      <c r="B69" s="28">
        <v>528</v>
      </c>
      <c r="C69" s="28">
        <v>502</v>
      </c>
      <c r="D69" s="28">
        <v>336</v>
      </c>
      <c r="E69" s="115">
        <f t="shared" si="3"/>
        <v>0.9507575757575758</v>
      </c>
      <c r="F69" s="116">
        <f t="shared" si="3"/>
        <v>0.6693227091633466</v>
      </c>
      <c r="G69" s="28">
        <v>147</v>
      </c>
      <c r="H69" s="28">
        <v>150</v>
      </c>
      <c r="I69" s="28">
        <v>116</v>
      </c>
      <c r="J69" s="117">
        <f t="shared" si="4"/>
        <v>1.0204081632653061</v>
      </c>
      <c r="K69" s="118">
        <f t="shared" si="4"/>
        <v>0.7733333333333333</v>
      </c>
      <c r="L69" s="28">
        <v>675</v>
      </c>
      <c r="M69" s="28">
        <v>652</v>
      </c>
      <c r="N69" s="28">
        <v>452</v>
      </c>
      <c r="O69" s="117">
        <f t="shared" si="5"/>
        <v>0.965925925925926</v>
      </c>
      <c r="P69" s="118">
        <f t="shared" si="5"/>
        <v>0.6932515337423313</v>
      </c>
    </row>
    <row r="70" spans="1:16" ht="15.75">
      <c r="A70" s="50" t="s">
        <v>271</v>
      </c>
      <c r="B70" s="28">
        <v>1421</v>
      </c>
      <c r="C70" s="28">
        <v>814</v>
      </c>
      <c r="D70" s="28">
        <v>785</v>
      </c>
      <c r="E70" s="115">
        <f t="shared" si="3"/>
        <v>0.5728360309641097</v>
      </c>
      <c r="F70" s="116">
        <f t="shared" si="3"/>
        <v>0.9643734643734644</v>
      </c>
      <c r="G70" s="28">
        <v>597</v>
      </c>
      <c r="H70" s="28">
        <v>356</v>
      </c>
      <c r="I70" s="28">
        <v>354</v>
      </c>
      <c r="J70" s="117">
        <f t="shared" si="4"/>
        <v>0.5963149078726968</v>
      </c>
      <c r="K70" s="118">
        <f t="shared" si="4"/>
        <v>0.9943820224719101</v>
      </c>
      <c r="L70" s="28">
        <v>2013</v>
      </c>
      <c r="M70" s="28">
        <v>1168</v>
      </c>
      <c r="N70" s="28">
        <v>1137</v>
      </c>
      <c r="O70" s="117">
        <f t="shared" si="5"/>
        <v>0.5802285146547441</v>
      </c>
      <c r="P70" s="118">
        <f t="shared" si="5"/>
        <v>0.973458904109589</v>
      </c>
    </row>
    <row r="71" spans="1:16" ht="15.75">
      <c r="A71" s="50" t="s">
        <v>108</v>
      </c>
      <c r="B71" s="28">
        <v>429</v>
      </c>
      <c r="C71" s="28">
        <v>396</v>
      </c>
      <c r="D71" s="28">
        <v>242</v>
      </c>
      <c r="E71" s="115">
        <f t="shared" si="3"/>
        <v>0.9230769230769231</v>
      </c>
      <c r="F71" s="116">
        <f t="shared" si="3"/>
        <v>0.6111111111111112</v>
      </c>
      <c r="G71" s="28">
        <v>240</v>
      </c>
      <c r="H71" s="28">
        <v>203</v>
      </c>
      <c r="I71" s="28">
        <v>155</v>
      </c>
      <c r="J71" s="117">
        <f t="shared" si="4"/>
        <v>0.8458333333333333</v>
      </c>
      <c r="K71" s="118">
        <f t="shared" si="4"/>
        <v>0.7635467980295566</v>
      </c>
      <c r="L71" s="28">
        <v>669</v>
      </c>
      <c r="M71" s="28">
        <v>599</v>
      </c>
      <c r="N71" s="28">
        <v>397</v>
      </c>
      <c r="O71" s="117">
        <f t="shared" si="5"/>
        <v>0.8953662182361734</v>
      </c>
      <c r="P71" s="118">
        <f t="shared" si="5"/>
        <v>0.662771285475793</v>
      </c>
    </row>
    <row r="72" spans="1:16" ht="15.75">
      <c r="A72" s="50" t="s">
        <v>102</v>
      </c>
      <c r="B72" s="28">
        <v>1253</v>
      </c>
      <c r="C72" s="28">
        <v>1143</v>
      </c>
      <c r="D72" s="28">
        <v>761</v>
      </c>
      <c r="E72" s="115">
        <f t="shared" si="3"/>
        <v>0.9122106943335994</v>
      </c>
      <c r="F72" s="116">
        <f t="shared" si="3"/>
        <v>0.6657917760279966</v>
      </c>
      <c r="G72" s="28">
        <v>421</v>
      </c>
      <c r="H72" s="28">
        <v>380</v>
      </c>
      <c r="I72" s="28">
        <v>326</v>
      </c>
      <c r="J72" s="117">
        <f t="shared" si="4"/>
        <v>0.9026128266033254</v>
      </c>
      <c r="K72" s="118">
        <f t="shared" si="4"/>
        <v>0.8578947368421053</v>
      </c>
      <c r="L72" s="28">
        <v>1671</v>
      </c>
      <c r="M72" s="28">
        <v>1523</v>
      </c>
      <c r="N72" s="28">
        <v>1087</v>
      </c>
      <c r="O72" s="117">
        <f t="shared" si="5"/>
        <v>0.9114302812687014</v>
      </c>
      <c r="P72" s="118">
        <f t="shared" si="5"/>
        <v>0.7137229152987524</v>
      </c>
    </row>
    <row r="73" spans="1:16" ht="15.75">
      <c r="A73" s="50" t="s">
        <v>109</v>
      </c>
      <c r="B73" s="28">
        <v>424</v>
      </c>
      <c r="C73" s="28">
        <v>405</v>
      </c>
      <c r="D73" s="28">
        <v>300</v>
      </c>
      <c r="E73" s="115">
        <f t="shared" si="3"/>
        <v>0.9551886792452831</v>
      </c>
      <c r="F73" s="116">
        <f t="shared" si="3"/>
        <v>0.7407407407407407</v>
      </c>
      <c r="G73" s="28">
        <v>0</v>
      </c>
      <c r="H73" s="28">
        <v>0</v>
      </c>
      <c r="I73" s="28">
        <v>0</v>
      </c>
      <c r="J73" s="117" t="str">
        <f t="shared" si="4"/>
        <v>x</v>
      </c>
      <c r="K73" s="118" t="str">
        <f t="shared" si="4"/>
        <v>x</v>
      </c>
      <c r="L73" s="28">
        <v>424</v>
      </c>
      <c r="M73" s="28">
        <v>405</v>
      </c>
      <c r="N73" s="28">
        <v>300</v>
      </c>
      <c r="O73" s="117">
        <f t="shared" si="5"/>
        <v>0.9551886792452831</v>
      </c>
      <c r="P73" s="118">
        <f t="shared" si="5"/>
        <v>0.7407407407407407</v>
      </c>
    </row>
    <row r="74" spans="1:16" ht="15.75">
      <c r="A74" s="50" t="s">
        <v>104</v>
      </c>
      <c r="B74" s="28">
        <v>1677</v>
      </c>
      <c r="C74" s="28">
        <v>1569</v>
      </c>
      <c r="D74" s="28">
        <v>943</v>
      </c>
      <c r="E74" s="115">
        <f t="shared" si="3"/>
        <v>0.9355992844364938</v>
      </c>
      <c r="F74" s="116">
        <f t="shared" si="3"/>
        <v>0.6010197578075207</v>
      </c>
      <c r="G74" s="28">
        <v>213</v>
      </c>
      <c r="H74" s="28">
        <v>217</v>
      </c>
      <c r="I74" s="28">
        <v>167</v>
      </c>
      <c r="J74" s="117">
        <f t="shared" si="4"/>
        <v>1.0187793427230047</v>
      </c>
      <c r="K74" s="118">
        <f t="shared" si="4"/>
        <v>0.7695852534562212</v>
      </c>
      <c r="L74" s="28">
        <v>1887</v>
      </c>
      <c r="M74" s="28">
        <v>1783</v>
      </c>
      <c r="N74" s="28">
        <v>1110</v>
      </c>
      <c r="O74" s="117">
        <f t="shared" si="5"/>
        <v>0.9448860625331214</v>
      </c>
      <c r="P74" s="118">
        <f t="shared" si="5"/>
        <v>0.6225462703309029</v>
      </c>
    </row>
    <row r="75" spans="1:16" ht="15.75">
      <c r="A75" s="50" t="s">
        <v>95</v>
      </c>
      <c r="B75" s="28">
        <v>942</v>
      </c>
      <c r="C75" s="28">
        <v>314</v>
      </c>
      <c r="D75" s="28">
        <v>176</v>
      </c>
      <c r="E75" s="115">
        <f t="shared" si="3"/>
        <v>0.3333333333333333</v>
      </c>
      <c r="F75" s="116">
        <f t="shared" si="3"/>
        <v>0.5605095541401274</v>
      </c>
      <c r="G75" s="28">
        <v>102</v>
      </c>
      <c r="H75" s="28">
        <v>43</v>
      </c>
      <c r="I75" s="28">
        <v>29</v>
      </c>
      <c r="J75" s="117">
        <f t="shared" si="4"/>
        <v>0.4215686274509804</v>
      </c>
      <c r="K75" s="118">
        <f t="shared" si="4"/>
        <v>0.6744186046511628</v>
      </c>
      <c r="L75" s="28">
        <v>1044</v>
      </c>
      <c r="M75" s="28">
        <v>357</v>
      </c>
      <c r="N75" s="28">
        <v>205</v>
      </c>
      <c r="O75" s="117">
        <f t="shared" si="5"/>
        <v>0.34195402298850575</v>
      </c>
      <c r="P75" s="118">
        <f t="shared" si="5"/>
        <v>0.5742296918767507</v>
      </c>
    </row>
    <row r="76" spans="1:16" ht="15.75">
      <c r="A76" s="50" t="s">
        <v>110</v>
      </c>
      <c r="B76" s="28">
        <v>292</v>
      </c>
      <c r="C76" s="28">
        <v>49</v>
      </c>
      <c r="D76" s="28">
        <v>47</v>
      </c>
      <c r="E76" s="115">
        <f t="shared" si="3"/>
        <v>0.1678082191780822</v>
      </c>
      <c r="F76" s="116">
        <f t="shared" si="3"/>
        <v>0.9591836734693877</v>
      </c>
      <c r="G76" s="28">
        <v>0</v>
      </c>
      <c r="H76" s="28">
        <v>0</v>
      </c>
      <c r="I76" s="28">
        <v>0</v>
      </c>
      <c r="J76" s="117" t="str">
        <f t="shared" si="4"/>
        <v>x</v>
      </c>
      <c r="K76" s="118" t="str">
        <f t="shared" si="4"/>
        <v>x</v>
      </c>
      <c r="L76" s="28">
        <v>292</v>
      </c>
      <c r="M76" s="28">
        <v>49</v>
      </c>
      <c r="N76" s="28">
        <v>47</v>
      </c>
      <c r="O76" s="117">
        <f t="shared" si="5"/>
        <v>0.1678082191780822</v>
      </c>
      <c r="P76" s="118">
        <f t="shared" si="5"/>
        <v>0.9591836734693877</v>
      </c>
    </row>
    <row r="77" spans="1:16" ht="15.75">
      <c r="A77" s="50" t="s">
        <v>219</v>
      </c>
      <c r="B77" s="28">
        <v>684</v>
      </c>
      <c r="C77" s="28">
        <v>611</v>
      </c>
      <c r="D77" s="28">
        <v>429</v>
      </c>
      <c r="E77" s="115">
        <f t="shared" si="3"/>
        <v>0.8932748538011696</v>
      </c>
      <c r="F77" s="116">
        <f t="shared" si="3"/>
        <v>0.7021276595744681</v>
      </c>
      <c r="G77" s="28">
        <v>292</v>
      </c>
      <c r="H77" s="28">
        <v>294</v>
      </c>
      <c r="I77" s="28">
        <v>258</v>
      </c>
      <c r="J77" s="117">
        <f t="shared" si="4"/>
        <v>1.0068493150684932</v>
      </c>
      <c r="K77" s="118">
        <f t="shared" si="4"/>
        <v>0.8775510204081632</v>
      </c>
      <c r="L77" s="28">
        <v>975</v>
      </c>
      <c r="M77" s="28">
        <v>905</v>
      </c>
      <c r="N77" s="28">
        <v>687</v>
      </c>
      <c r="O77" s="117">
        <f t="shared" si="5"/>
        <v>0.9282051282051282</v>
      </c>
      <c r="P77" s="118">
        <f t="shared" si="5"/>
        <v>0.7591160220994475</v>
      </c>
    </row>
    <row r="78" spans="1:16" ht="15.75">
      <c r="A78" s="47" t="s">
        <v>111</v>
      </c>
      <c r="B78" s="66">
        <v>6075</v>
      </c>
      <c r="C78" s="66">
        <v>3941</v>
      </c>
      <c r="D78" s="66">
        <v>2718</v>
      </c>
      <c r="E78" s="119">
        <f t="shared" si="3"/>
        <v>0.6487242798353909</v>
      </c>
      <c r="F78" s="119">
        <f t="shared" si="3"/>
        <v>0.6896726719106826</v>
      </c>
      <c r="G78" s="66">
        <v>1942</v>
      </c>
      <c r="H78" s="66">
        <v>977</v>
      </c>
      <c r="I78" s="66">
        <v>898</v>
      </c>
      <c r="J78" s="120">
        <f t="shared" si="4"/>
        <v>0.5030895983522142</v>
      </c>
      <c r="K78" s="120">
        <f t="shared" si="4"/>
        <v>0.9191402251791198</v>
      </c>
      <c r="L78" s="66">
        <v>7947</v>
      </c>
      <c r="M78" s="66">
        <v>4905</v>
      </c>
      <c r="N78" s="66">
        <v>3614</v>
      </c>
      <c r="O78" s="120">
        <f t="shared" si="5"/>
        <v>0.6172140430351076</v>
      </c>
      <c r="P78" s="120">
        <f t="shared" si="5"/>
        <v>0.7367991845056066</v>
      </c>
    </row>
    <row r="79" spans="1:16" ht="15.75">
      <c r="A79" s="50" t="s">
        <v>269</v>
      </c>
      <c r="B79" s="28">
        <v>34</v>
      </c>
      <c r="C79" s="28">
        <v>24</v>
      </c>
      <c r="D79" s="28">
        <v>18</v>
      </c>
      <c r="E79" s="115">
        <f t="shared" si="3"/>
        <v>0.7058823529411765</v>
      </c>
      <c r="F79" s="116">
        <f t="shared" si="3"/>
        <v>0.75</v>
      </c>
      <c r="G79" s="28">
        <v>34</v>
      </c>
      <c r="H79" s="28">
        <v>18</v>
      </c>
      <c r="I79" s="28">
        <v>18</v>
      </c>
      <c r="J79" s="117">
        <f t="shared" si="4"/>
        <v>0.5294117647058824</v>
      </c>
      <c r="K79" s="118">
        <f t="shared" si="4"/>
        <v>1</v>
      </c>
      <c r="L79" s="28">
        <v>68</v>
      </c>
      <c r="M79" s="28">
        <v>42</v>
      </c>
      <c r="N79" s="28">
        <v>36</v>
      </c>
      <c r="O79" s="117">
        <f t="shared" si="5"/>
        <v>0.6176470588235294</v>
      </c>
      <c r="P79" s="118">
        <f t="shared" si="5"/>
        <v>0.8571428571428571</v>
      </c>
    </row>
    <row r="80" spans="1:16" ht="15.75">
      <c r="A80" s="50" t="s">
        <v>88</v>
      </c>
      <c r="B80" s="28">
        <v>1129</v>
      </c>
      <c r="C80" s="28">
        <v>664</v>
      </c>
      <c r="D80" s="28">
        <v>471</v>
      </c>
      <c r="E80" s="115">
        <f t="shared" si="3"/>
        <v>0.5881310894596988</v>
      </c>
      <c r="F80" s="116">
        <f t="shared" si="3"/>
        <v>0.7093373493975904</v>
      </c>
      <c r="G80" s="28">
        <v>1112</v>
      </c>
      <c r="H80" s="28">
        <v>385</v>
      </c>
      <c r="I80" s="28">
        <v>368</v>
      </c>
      <c r="J80" s="117">
        <f t="shared" si="4"/>
        <v>0.3462230215827338</v>
      </c>
      <c r="K80" s="118">
        <f t="shared" si="4"/>
        <v>0.9558441558441558</v>
      </c>
      <c r="L80" s="28">
        <v>2204</v>
      </c>
      <c r="M80" s="28">
        <v>1049</v>
      </c>
      <c r="N80" s="28">
        <v>839</v>
      </c>
      <c r="O80" s="117">
        <f t="shared" si="5"/>
        <v>0.47595281306715065</v>
      </c>
      <c r="P80" s="118">
        <f t="shared" si="5"/>
        <v>0.7998093422306959</v>
      </c>
    </row>
    <row r="81" spans="1:16" ht="15.75">
      <c r="A81" s="50" t="s">
        <v>102</v>
      </c>
      <c r="B81" s="28">
        <v>633</v>
      </c>
      <c r="C81" s="28">
        <v>556</v>
      </c>
      <c r="D81" s="28">
        <v>339</v>
      </c>
      <c r="E81" s="115">
        <f t="shared" si="3"/>
        <v>0.8783570300157978</v>
      </c>
      <c r="F81" s="116">
        <f t="shared" si="3"/>
        <v>0.6097122302158273</v>
      </c>
      <c r="G81" s="28">
        <v>119</v>
      </c>
      <c r="H81" s="28">
        <v>111</v>
      </c>
      <c r="I81" s="28">
        <v>91</v>
      </c>
      <c r="J81" s="117">
        <f t="shared" si="4"/>
        <v>0.9327731092436975</v>
      </c>
      <c r="K81" s="118">
        <f t="shared" si="4"/>
        <v>0.8198198198198198</v>
      </c>
      <c r="L81" s="28">
        <v>751</v>
      </c>
      <c r="M81" s="28">
        <v>667</v>
      </c>
      <c r="N81" s="28">
        <v>430</v>
      </c>
      <c r="O81" s="117">
        <f t="shared" si="5"/>
        <v>0.8881491344873502</v>
      </c>
      <c r="P81" s="118">
        <f t="shared" si="5"/>
        <v>0.6446776611694153</v>
      </c>
    </row>
    <row r="82" spans="1:16" ht="15.75">
      <c r="A82" s="50" t="s">
        <v>109</v>
      </c>
      <c r="B82" s="28">
        <v>518</v>
      </c>
      <c r="C82" s="28">
        <v>449</v>
      </c>
      <c r="D82" s="28">
        <v>283</v>
      </c>
      <c r="E82" s="115">
        <f t="shared" si="3"/>
        <v>0.8667953667953668</v>
      </c>
      <c r="F82" s="116">
        <f t="shared" si="3"/>
        <v>0.6302895322939867</v>
      </c>
      <c r="G82" s="28">
        <v>129</v>
      </c>
      <c r="H82" s="28">
        <v>128</v>
      </c>
      <c r="I82" s="28">
        <v>113</v>
      </c>
      <c r="J82" s="117">
        <f t="shared" si="4"/>
        <v>0.9922480620155039</v>
      </c>
      <c r="K82" s="118">
        <f t="shared" si="4"/>
        <v>0.8828125</v>
      </c>
      <c r="L82" s="28">
        <v>642</v>
      </c>
      <c r="M82" s="28">
        <v>574</v>
      </c>
      <c r="N82" s="28">
        <v>396</v>
      </c>
      <c r="O82" s="117">
        <f t="shared" si="5"/>
        <v>0.8940809968847352</v>
      </c>
      <c r="P82" s="118">
        <f t="shared" si="5"/>
        <v>0.6898954703832753</v>
      </c>
    </row>
    <row r="83" spans="1:16" ht="15.75">
      <c r="A83" s="50" t="s">
        <v>112</v>
      </c>
      <c r="B83" s="28">
        <v>825</v>
      </c>
      <c r="C83" s="28">
        <v>601</v>
      </c>
      <c r="D83" s="28">
        <v>406</v>
      </c>
      <c r="E83" s="115">
        <f t="shared" si="3"/>
        <v>0.7284848484848485</v>
      </c>
      <c r="F83" s="116">
        <f t="shared" si="3"/>
        <v>0.6755407653910149</v>
      </c>
      <c r="G83" s="28">
        <v>0</v>
      </c>
      <c r="H83" s="28">
        <v>0</v>
      </c>
      <c r="I83" s="28">
        <v>0</v>
      </c>
      <c r="J83" s="117" t="str">
        <f t="shared" si="4"/>
        <v>x</v>
      </c>
      <c r="K83" s="118" t="str">
        <f t="shared" si="4"/>
        <v>x</v>
      </c>
      <c r="L83" s="28">
        <v>825</v>
      </c>
      <c r="M83" s="28">
        <v>601</v>
      </c>
      <c r="N83" s="28">
        <v>406</v>
      </c>
      <c r="O83" s="117">
        <f t="shared" si="5"/>
        <v>0.7284848484848485</v>
      </c>
      <c r="P83" s="118">
        <f t="shared" si="5"/>
        <v>0.6755407653910149</v>
      </c>
    </row>
    <row r="84" spans="1:16" ht="15.75">
      <c r="A84" s="50" t="s">
        <v>272</v>
      </c>
      <c r="B84" s="28">
        <v>1526</v>
      </c>
      <c r="C84" s="28">
        <v>715</v>
      </c>
      <c r="D84" s="28">
        <v>563</v>
      </c>
      <c r="E84" s="115">
        <f t="shared" si="3"/>
        <v>0.46854521625163825</v>
      </c>
      <c r="F84" s="116">
        <f t="shared" si="3"/>
        <v>0.7874125874125875</v>
      </c>
      <c r="G84" s="28">
        <v>427</v>
      </c>
      <c r="H84" s="28">
        <v>237</v>
      </c>
      <c r="I84" s="28">
        <v>219</v>
      </c>
      <c r="J84" s="117">
        <f t="shared" si="4"/>
        <v>0.5550351288056206</v>
      </c>
      <c r="K84" s="118">
        <f t="shared" si="4"/>
        <v>0.9240506329113924</v>
      </c>
      <c r="L84" s="28">
        <v>1930</v>
      </c>
      <c r="M84" s="28">
        <v>946</v>
      </c>
      <c r="N84" s="28">
        <v>782</v>
      </c>
      <c r="O84" s="117">
        <f t="shared" si="5"/>
        <v>0.49015544041450776</v>
      </c>
      <c r="P84" s="118">
        <f t="shared" si="5"/>
        <v>0.8266384778012685</v>
      </c>
    </row>
    <row r="85" spans="1:16" ht="15.75">
      <c r="A85" s="50" t="s">
        <v>113</v>
      </c>
      <c r="B85" s="28">
        <v>925</v>
      </c>
      <c r="C85" s="28">
        <v>596</v>
      </c>
      <c r="D85" s="28">
        <v>384</v>
      </c>
      <c r="E85" s="115">
        <f t="shared" si="3"/>
        <v>0.6443243243243243</v>
      </c>
      <c r="F85" s="116">
        <f t="shared" si="3"/>
        <v>0.6442953020134228</v>
      </c>
      <c r="G85" s="28">
        <v>0</v>
      </c>
      <c r="H85" s="28">
        <v>0</v>
      </c>
      <c r="I85" s="28">
        <v>0</v>
      </c>
      <c r="J85" s="117" t="str">
        <f t="shared" si="4"/>
        <v>x</v>
      </c>
      <c r="K85" s="118" t="str">
        <f t="shared" si="4"/>
        <v>x</v>
      </c>
      <c r="L85" s="28">
        <v>925</v>
      </c>
      <c r="M85" s="28">
        <v>596</v>
      </c>
      <c r="N85" s="28">
        <v>384</v>
      </c>
      <c r="O85" s="117">
        <f t="shared" si="5"/>
        <v>0.6443243243243243</v>
      </c>
      <c r="P85" s="118">
        <f t="shared" si="5"/>
        <v>0.6442953020134228</v>
      </c>
    </row>
    <row r="86" spans="1:16" ht="15.75">
      <c r="A86" s="50" t="s">
        <v>114</v>
      </c>
      <c r="B86" s="28">
        <v>485</v>
      </c>
      <c r="C86" s="28">
        <v>335</v>
      </c>
      <c r="D86" s="28">
        <v>253</v>
      </c>
      <c r="E86" s="115">
        <f t="shared" si="3"/>
        <v>0.6907216494845361</v>
      </c>
      <c r="F86" s="116">
        <f t="shared" si="3"/>
        <v>0.755223880597015</v>
      </c>
      <c r="G86" s="28">
        <v>121</v>
      </c>
      <c r="H86" s="28">
        <v>98</v>
      </c>
      <c r="I86" s="28">
        <v>89</v>
      </c>
      <c r="J86" s="117">
        <f t="shared" si="4"/>
        <v>0.8099173553719008</v>
      </c>
      <c r="K86" s="118">
        <f t="shared" si="4"/>
        <v>0.9081632653061225</v>
      </c>
      <c r="L86" s="28">
        <v>602</v>
      </c>
      <c r="M86" s="28">
        <v>430</v>
      </c>
      <c r="N86" s="28">
        <v>341</v>
      </c>
      <c r="O86" s="117">
        <f t="shared" si="5"/>
        <v>0.7142857142857143</v>
      </c>
      <c r="P86" s="118">
        <f t="shared" si="5"/>
        <v>0.7930232558139535</v>
      </c>
    </row>
    <row r="87" spans="1:16" ht="15.75">
      <c r="A87" s="47" t="s">
        <v>115</v>
      </c>
      <c r="B87" s="66">
        <v>2782</v>
      </c>
      <c r="C87" s="66">
        <v>1941</v>
      </c>
      <c r="D87" s="66">
        <v>1194</v>
      </c>
      <c r="E87" s="119">
        <f t="shared" si="3"/>
        <v>0.6976994967649173</v>
      </c>
      <c r="F87" s="119">
        <f t="shared" si="3"/>
        <v>0.615146831530139</v>
      </c>
      <c r="G87" s="66">
        <v>1587</v>
      </c>
      <c r="H87" s="66">
        <v>1189</v>
      </c>
      <c r="I87" s="66">
        <v>925</v>
      </c>
      <c r="J87" s="120">
        <f t="shared" si="4"/>
        <v>0.7492123503465659</v>
      </c>
      <c r="K87" s="120">
        <f t="shared" si="4"/>
        <v>0.7779646761984861</v>
      </c>
      <c r="L87" s="66">
        <v>4364</v>
      </c>
      <c r="M87" s="66">
        <v>3126</v>
      </c>
      <c r="N87" s="66">
        <v>2119</v>
      </c>
      <c r="O87" s="120">
        <f t="shared" si="5"/>
        <v>0.7163153070577452</v>
      </c>
      <c r="P87" s="120">
        <f t="shared" si="5"/>
        <v>0.6778630838131798</v>
      </c>
    </row>
    <row r="88" spans="1:16" ht="15.75">
      <c r="A88" s="50" t="s">
        <v>269</v>
      </c>
      <c r="B88" s="28">
        <v>450</v>
      </c>
      <c r="C88" s="28">
        <v>346</v>
      </c>
      <c r="D88" s="28">
        <v>231</v>
      </c>
      <c r="E88" s="115">
        <f t="shared" si="3"/>
        <v>0.7688888888888888</v>
      </c>
      <c r="F88" s="116">
        <f t="shared" si="3"/>
        <v>0.6676300578034682</v>
      </c>
      <c r="G88" s="28">
        <v>203</v>
      </c>
      <c r="H88" s="28">
        <v>183</v>
      </c>
      <c r="I88" s="28">
        <v>163</v>
      </c>
      <c r="J88" s="117">
        <f t="shared" si="4"/>
        <v>0.9014778325123153</v>
      </c>
      <c r="K88" s="118">
        <f t="shared" si="4"/>
        <v>0.8907103825136612</v>
      </c>
      <c r="L88" s="28">
        <v>653</v>
      </c>
      <c r="M88" s="28">
        <v>529</v>
      </c>
      <c r="N88" s="28">
        <v>394</v>
      </c>
      <c r="O88" s="117">
        <f t="shared" si="5"/>
        <v>0.8101071975497703</v>
      </c>
      <c r="P88" s="118">
        <f t="shared" si="5"/>
        <v>0.7448015122873346</v>
      </c>
    </row>
    <row r="89" spans="1:16" ht="15.75">
      <c r="A89" s="50" t="s">
        <v>116</v>
      </c>
      <c r="B89" s="28">
        <v>203</v>
      </c>
      <c r="C89" s="28">
        <v>186</v>
      </c>
      <c r="D89" s="28">
        <v>96</v>
      </c>
      <c r="E89" s="115">
        <f t="shared" si="3"/>
        <v>0.916256157635468</v>
      </c>
      <c r="F89" s="116">
        <f t="shared" si="3"/>
        <v>0.5161290322580645</v>
      </c>
      <c r="G89" s="28">
        <v>58</v>
      </c>
      <c r="H89" s="28">
        <v>58</v>
      </c>
      <c r="I89" s="28">
        <v>49</v>
      </c>
      <c r="J89" s="117">
        <f t="shared" si="4"/>
        <v>1</v>
      </c>
      <c r="K89" s="118">
        <f t="shared" si="4"/>
        <v>0.8448275862068966</v>
      </c>
      <c r="L89" s="28">
        <v>261</v>
      </c>
      <c r="M89" s="28">
        <v>244</v>
      </c>
      <c r="N89" s="28">
        <v>145</v>
      </c>
      <c r="O89" s="117">
        <f t="shared" si="5"/>
        <v>0.9348659003831418</v>
      </c>
      <c r="P89" s="118">
        <f t="shared" si="5"/>
        <v>0.5942622950819673</v>
      </c>
    </row>
    <row r="90" spans="1:16" ht="15.75">
      <c r="A90" s="50" t="s">
        <v>117</v>
      </c>
      <c r="B90" s="28">
        <v>678</v>
      </c>
      <c r="C90" s="28">
        <v>614</v>
      </c>
      <c r="D90" s="28">
        <v>298</v>
      </c>
      <c r="E90" s="115">
        <f t="shared" si="3"/>
        <v>0.9056047197640118</v>
      </c>
      <c r="F90" s="116">
        <f t="shared" si="3"/>
        <v>0.48534201954397393</v>
      </c>
      <c r="G90" s="28">
        <v>230</v>
      </c>
      <c r="H90" s="28">
        <v>227</v>
      </c>
      <c r="I90" s="28">
        <v>173</v>
      </c>
      <c r="J90" s="117">
        <f t="shared" si="4"/>
        <v>0.9869565217391304</v>
      </c>
      <c r="K90" s="118">
        <f t="shared" si="4"/>
        <v>0.762114537444934</v>
      </c>
      <c r="L90" s="28">
        <v>905</v>
      </c>
      <c r="M90" s="28">
        <v>838</v>
      </c>
      <c r="N90" s="28">
        <v>471</v>
      </c>
      <c r="O90" s="117">
        <f t="shared" si="5"/>
        <v>0.9259668508287293</v>
      </c>
      <c r="P90" s="118">
        <f t="shared" si="5"/>
        <v>0.5620525059665871</v>
      </c>
    </row>
    <row r="91" spans="1:16" ht="15.75">
      <c r="A91" s="50" t="s">
        <v>118</v>
      </c>
      <c r="B91" s="28">
        <v>261</v>
      </c>
      <c r="C91" s="28">
        <v>251</v>
      </c>
      <c r="D91" s="28">
        <v>165</v>
      </c>
      <c r="E91" s="115">
        <f t="shared" si="3"/>
        <v>0.9616858237547893</v>
      </c>
      <c r="F91" s="116">
        <f t="shared" si="3"/>
        <v>0.6573705179282868</v>
      </c>
      <c r="G91" s="28">
        <v>202</v>
      </c>
      <c r="H91" s="28">
        <v>200</v>
      </c>
      <c r="I91" s="28">
        <v>159</v>
      </c>
      <c r="J91" s="117">
        <f t="shared" si="4"/>
        <v>0.9900990099009901</v>
      </c>
      <c r="K91" s="118">
        <f t="shared" si="4"/>
        <v>0.795</v>
      </c>
      <c r="L91" s="28">
        <v>462</v>
      </c>
      <c r="M91" s="28">
        <v>450</v>
      </c>
      <c r="N91" s="28">
        <v>324</v>
      </c>
      <c r="O91" s="117">
        <f t="shared" si="5"/>
        <v>0.974025974025974</v>
      </c>
      <c r="P91" s="118">
        <f t="shared" si="5"/>
        <v>0.72</v>
      </c>
    </row>
    <row r="92" spans="1:16" ht="15.75">
      <c r="A92" s="50" t="s">
        <v>119</v>
      </c>
      <c r="B92" s="28">
        <v>1190</v>
      </c>
      <c r="C92" s="28">
        <v>544</v>
      </c>
      <c r="D92" s="28">
        <v>404</v>
      </c>
      <c r="E92" s="115">
        <f t="shared" si="3"/>
        <v>0.45714285714285713</v>
      </c>
      <c r="F92" s="116">
        <f t="shared" si="3"/>
        <v>0.7426470588235294</v>
      </c>
      <c r="G92" s="28">
        <v>894</v>
      </c>
      <c r="H92" s="28">
        <v>521</v>
      </c>
      <c r="I92" s="28">
        <v>381</v>
      </c>
      <c r="J92" s="117">
        <f t="shared" si="4"/>
        <v>0.5827740492170023</v>
      </c>
      <c r="K92" s="118">
        <f t="shared" si="4"/>
        <v>0.7312859884836852</v>
      </c>
      <c r="L92" s="28">
        <v>2083</v>
      </c>
      <c r="M92" s="28">
        <v>1065</v>
      </c>
      <c r="N92" s="28">
        <v>785</v>
      </c>
      <c r="O92" s="117">
        <f t="shared" si="5"/>
        <v>0.5112818050888142</v>
      </c>
      <c r="P92" s="118">
        <f t="shared" si="5"/>
        <v>0.7370892018779343</v>
      </c>
    </row>
    <row r="93" spans="1:16" ht="15.75">
      <c r="A93" s="47" t="s">
        <v>120</v>
      </c>
      <c r="B93" s="66">
        <v>9745</v>
      </c>
      <c r="C93" s="66">
        <v>5371</v>
      </c>
      <c r="D93" s="66">
        <v>2954</v>
      </c>
      <c r="E93" s="119">
        <f t="shared" si="3"/>
        <v>0.5511544381734222</v>
      </c>
      <c r="F93" s="119">
        <f t="shared" si="3"/>
        <v>0.5499906907466021</v>
      </c>
      <c r="G93" s="66">
        <v>2114</v>
      </c>
      <c r="H93" s="66">
        <v>1095</v>
      </c>
      <c r="I93" s="66">
        <v>773</v>
      </c>
      <c r="J93" s="120">
        <f t="shared" si="4"/>
        <v>0.5179754020813624</v>
      </c>
      <c r="K93" s="120">
        <f t="shared" si="4"/>
        <v>0.7059360730593607</v>
      </c>
      <c r="L93" s="66">
        <v>11859</v>
      </c>
      <c r="M93" s="66">
        <v>6466</v>
      </c>
      <c r="N93" s="66">
        <v>3727</v>
      </c>
      <c r="O93" s="120">
        <f t="shared" si="5"/>
        <v>0.5452399021839953</v>
      </c>
      <c r="P93" s="120">
        <f t="shared" si="5"/>
        <v>0.5763996288277142</v>
      </c>
    </row>
    <row r="94" spans="1:16" ht="15.75">
      <c r="A94" s="50" t="s">
        <v>121</v>
      </c>
      <c r="B94" s="28">
        <v>2407</v>
      </c>
      <c r="C94" s="28">
        <v>1244</v>
      </c>
      <c r="D94" s="28">
        <v>583</v>
      </c>
      <c r="E94" s="115">
        <f t="shared" si="3"/>
        <v>0.516825924387204</v>
      </c>
      <c r="F94" s="116">
        <f t="shared" si="3"/>
        <v>0.46864951768488744</v>
      </c>
      <c r="G94" s="28">
        <v>370</v>
      </c>
      <c r="H94" s="28">
        <v>203</v>
      </c>
      <c r="I94" s="28">
        <v>142</v>
      </c>
      <c r="J94" s="117">
        <f t="shared" si="4"/>
        <v>0.5486486486486486</v>
      </c>
      <c r="K94" s="118">
        <f t="shared" si="4"/>
        <v>0.6995073891625616</v>
      </c>
      <c r="L94" s="28">
        <v>2777</v>
      </c>
      <c r="M94" s="28">
        <v>1447</v>
      </c>
      <c r="N94" s="28">
        <v>725</v>
      </c>
      <c r="O94" s="117">
        <f t="shared" si="5"/>
        <v>0.5210658984515665</v>
      </c>
      <c r="P94" s="118">
        <f t="shared" si="5"/>
        <v>0.5010366275051832</v>
      </c>
    </row>
    <row r="95" spans="1:16" ht="15.75">
      <c r="A95" s="50" t="s">
        <v>122</v>
      </c>
      <c r="B95" s="28">
        <v>2583</v>
      </c>
      <c r="C95" s="28">
        <v>1265</v>
      </c>
      <c r="D95" s="28">
        <v>683</v>
      </c>
      <c r="E95" s="115">
        <f t="shared" si="3"/>
        <v>0.4897406116918312</v>
      </c>
      <c r="F95" s="116">
        <f t="shared" si="3"/>
        <v>0.5399209486166008</v>
      </c>
      <c r="G95" s="28">
        <v>605</v>
      </c>
      <c r="H95" s="28">
        <v>277</v>
      </c>
      <c r="I95" s="28">
        <v>138</v>
      </c>
      <c r="J95" s="117">
        <f t="shared" si="4"/>
        <v>0.4578512396694215</v>
      </c>
      <c r="K95" s="118">
        <f t="shared" si="4"/>
        <v>0.4981949458483754</v>
      </c>
      <c r="L95" s="28">
        <v>3188</v>
      </c>
      <c r="M95" s="28">
        <v>1542</v>
      </c>
      <c r="N95" s="28">
        <v>821</v>
      </c>
      <c r="O95" s="117">
        <f t="shared" si="5"/>
        <v>0.4836888331242158</v>
      </c>
      <c r="P95" s="118">
        <f t="shared" si="5"/>
        <v>0.5324254215304799</v>
      </c>
    </row>
    <row r="96" spans="1:16" ht="15.75">
      <c r="A96" s="50" t="s">
        <v>123</v>
      </c>
      <c r="B96" s="28">
        <v>1333</v>
      </c>
      <c r="C96" s="28">
        <v>1002</v>
      </c>
      <c r="D96" s="28">
        <v>640</v>
      </c>
      <c r="E96" s="115">
        <f>IF(ISERROR(C96/B96),"x",C96/B96)</f>
        <v>0.7516879219804952</v>
      </c>
      <c r="F96" s="116">
        <f>IF(ISERROR(D96/C96),"x",D96/C96)</f>
        <v>0.6387225548902196</v>
      </c>
      <c r="G96" s="28">
        <v>540</v>
      </c>
      <c r="H96" s="28">
        <v>322</v>
      </c>
      <c r="I96" s="28">
        <v>253</v>
      </c>
      <c r="J96" s="117">
        <f t="shared" si="4"/>
        <v>0.5962962962962963</v>
      </c>
      <c r="K96" s="118">
        <f t="shared" si="4"/>
        <v>0.7857142857142857</v>
      </c>
      <c r="L96" s="28">
        <v>1873</v>
      </c>
      <c r="M96" s="28">
        <v>1324</v>
      </c>
      <c r="N96" s="28">
        <v>893</v>
      </c>
      <c r="O96" s="117">
        <f t="shared" si="5"/>
        <v>0.7068873465029365</v>
      </c>
      <c r="P96" s="118">
        <f t="shared" si="5"/>
        <v>0.6744712990936556</v>
      </c>
    </row>
    <row r="97" spans="1:16" ht="15.75">
      <c r="A97" s="50" t="s">
        <v>124</v>
      </c>
      <c r="B97" s="28">
        <v>830</v>
      </c>
      <c r="C97" s="28">
        <v>499</v>
      </c>
      <c r="D97" s="28">
        <v>316</v>
      </c>
      <c r="E97" s="115">
        <f t="shared" si="3"/>
        <v>0.6012048192771084</v>
      </c>
      <c r="F97" s="116">
        <f t="shared" si="3"/>
        <v>0.6332665330661322</v>
      </c>
      <c r="G97" s="28">
        <v>169</v>
      </c>
      <c r="H97" s="28">
        <v>69</v>
      </c>
      <c r="I97" s="28">
        <v>65</v>
      </c>
      <c r="J97" s="117">
        <f t="shared" si="4"/>
        <v>0.40828402366863903</v>
      </c>
      <c r="K97" s="118">
        <f t="shared" si="4"/>
        <v>0.9420289855072463</v>
      </c>
      <c r="L97" s="28">
        <v>999</v>
      </c>
      <c r="M97" s="28">
        <v>568</v>
      </c>
      <c r="N97" s="28">
        <v>381</v>
      </c>
      <c r="O97" s="117">
        <f t="shared" si="5"/>
        <v>0.5685685685685685</v>
      </c>
      <c r="P97" s="118">
        <f t="shared" si="5"/>
        <v>0.670774647887324</v>
      </c>
    </row>
    <row r="98" spans="1:16" ht="15.75">
      <c r="A98" s="50" t="s">
        <v>125</v>
      </c>
      <c r="B98" s="28">
        <v>2126</v>
      </c>
      <c r="C98" s="28">
        <v>1080</v>
      </c>
      <c r="D98" s="28">
        <v>535</v>
      </c>
      <c r="E98" s="115">
        <f t="shared" si="3"/>
        <v>0.5079962370649106</v>
      </c>
      <c r="F98" s="116">
        <f t="shared" si="3"/>
        <v>0.49537037037037035</v>
      </c>
      <c r="G98" s="28">
        <v>430</v>
      </c>
      <c r="H98" s="28">
        <v>224</v>
      </c>
      <c r="I98" s="28">
        <v>175</v>
      </c>
      <c r="J98" s="117">
        <f t="shared" si="4"/>
        <v>0.5209302325581395</v>
      </c>
      <c r="K98" s="118">
        <f t="shared" si="4"/>
        <v>0.78125</v>
      </c>
      <c r="L98" s="28">
        <v>2556</v>
      </c>
      <c r="M98" s="28">
        <v>1304</v>
      </c>
      <c r="N98" s="28">
        <v>710</v>
      </c>
      <c r="O98" s="117">
        <f t="shared" si="5"/>
        <v>0.5101721439749609</v>
      </c>
      <c r="P98" s="118">
        <f t="shared" si="5"/>
        <v>0.5444785276073619</v>
      </c>
    </row>
    <row r="99" spans="1:16" ht="15.75">
      <c r="A99" s="50" t="s">
        <v>126</v>
      </c>
      <c r="B99" s="28">
        <v>466</v>
      </c>
      <c r="C99" s="28">
        <v>281</v>
      </c>
      <c r="D99" s="28">
        <v>197</v>
      </c>
      <c r="E99" s="115">
        <f t="shared" si="3"/>
        <v>0.6030042918454935</v>
      </c>
      <c r="F99" s="116">
        <f t="shared" si="3"/>
        <v>0.701067615658363</v>
      </c>
      <c r="G99" s="28">
        <v>0</v>
      </c>
      <c r="H99" s="28">
        <v>0</v>
      </c>
      <c r="I99" s="28">
        <v>0</v>
      </c>
      <c r="J99" s="117" t="str">
        <f t="shared" si="4"/>
        <v>x</v>
      </c>
      <c r="K99" s="118" t="str">
        <f t="shared" si="4"/>
        <v>x</v>
      </c>
      <c r="L99" s="28">
        <v>466</v>
      </c>
      <c r="M99" s="28">
        <v>281</v>
      </c>
      <c r="N99" s="28">
        <v>197</v>
      </c>
      <c r="O99" s="117">
        <f t="shared" si="5"/>
        <v>0.6030042918454935</v>
      </c>
      <c r="P99" s="118">
        <f t="shared" si="5"/>
        <v>0.701067615658363</v>
      </c>
    </row>
    <row r="100" spans="1:16" ht="18" customHeight="1">
      <c r="A100" s="47" t="s">
        <v>127</v>
      </c>
      <c r="B100" s="66">
        <v>5920</v>
      </c>
      <c r="C100" s="66">
        <v>2522</v>
      </c>
      <c r="D100" s="66">
        <v>1861</v>
      </c>
      <c r="E100" s="119">
        <f t="shared" si="3"/>
        <v>0.4260135135135135</v>
      </c>
      <c r="F100" s="119">
        <f t="shared" si="3"/>
        <v>0.7379064234734338</v>
      </c>
      <c r="G100" s="66">
        <v>2049</v>
      </c>
      <c r="H100" s="66">
        <v>1062</v>
      </c>
      <c r="I100" s="66">
        <v>930</v>
      </c>
      <c r="J100" s="120">
        <f t="shared" si="4"/>
        <v>0.5183016105417276</v>
      </c>
      <c r="K100" s="120">
        <f t="shared" si="4"/>
        <v>0.8757062146892656</v>
      </c>
      <c r="L100" s="66">
        <v>7969</v>
      </c>
      <c r="M100" s="66">
        <v>3584</v>
      </c>
      <c r="N100" s="66">
        <v>2791</v>
      </c>
      <c r="O100" s="120">
        <f t="shared" si="5"/>
        <v>0.449742753168528</v>
      </c>
      <c r="P100" s="120">
        <f t="shared" si="5"/>
        <v>0.7787388392857143</v>
      </c>
    </row>
    <row r="101" spans="1:16" ht="15.75">
      <c r="A101" s="50" t="s">
        <v>128</v>
      </c>
      <c r="B101" s="28">
        <v>265</v>
      </c>
      <c r="C101" s="28">
        <v>220</v>
      </c>
      <c r="D101" s="28">
        <v>156</v>
      </c>
      <c r="E101" s="115">
        <f t="shared" si="3"/>
        <v>0.8301886792452831</v>
      </c>
      <c r="F101" s="116">
        <f t="shared" si="3"/>
        <v>0.7090909090909091</v>
      </c>
      <c r="G101" s="28">
        <v>100</v>
      </c>
      <c r="H101" s="28">
        <v>77</v>
      </c>
      <c r="I101" s="28">
        <v>64</v>
      </c>
      <c r="J101" s="117">
        <f t="shared" si="4"/>
        <v>0.77</v>
      </c>
      <c r="K101" s="118">
        <f t="shared" si="4"/>
        <v>0.8311688311688312</v>
      </c>
      <c r="L101" s="28">
        <v>365</v>
      </c>
      <c r="M101" s="28">
        <v>297</v>
      </c>
      <c r="N101" s="28">
        <v>220</v>
      </c>
      <c r="O101" s="117">
        <f t="shared" si="5"/>
        <v>0.8136986301369863</v>
      </c>
      <c r="P101" s="118">
        <f t="shared" si="5"/>
        <v>0.7407407407407407</v>
      </c>
    </row>
    <row r="102" spans="1:16" ht="15.75">
      <c r="A102" s="50" t="s">
        <v>129</v>
      </c>
      <c r="B102" s="28">
        <v>2466</v>
      </c>
      <c r="C102" s="28">
        <v>412</v>
      </c>
      <c r="D102" s="28">
        <v>370</v>
      </c>
      <c r="E102" s="115">
        <f t="shared" si="3"/>
        <v>0.16707218167072183</v>
      </c>
      <c r="F102" s="116">
        <f t="shared" si="3"/>
        <v>0.8980582524271845</v>
      </c>
      <c r="G102" s="28">
        <v>773</v>
      </c>
      <c r="H102" s="28">
        <v>209</v>
      </c>
      <c r="I102" s="28">
        <v>191</v>
      </c>
      <c r="J102" s="117">
        <f t="shared" si="4"/>
        <v>0.2703751617076326</v>
      </c>
      <c r="K102" s="118">
        <f t="shared" si="4"/>
        <v>0.9138755980861244</v>
      </c>
      <c r="L102" s="28">
        <v>3239</v>
      </c>
      <c r="M102" s="28">
        <v>621</v>
      </c>
      <c r="N102" s="28">
        <v>561</v>
      </c>
      <c r="O102" s="117">
        <f t="shared" si="5"/>
        <v>0.191725841309046</v>
      </c>
      <c r="P102" s="118">
        <f t="shared" si="5"/>
        <v>0.9033816425120773</v>
      </c>
    </row>
    <row r="103" spans="1:16" ht="15.75">
      <c r="A103" s="50" t="s">
        <v>273</v>
      </c>
      <c r="B103" s="28">
        <v>1159</v>
      </c>
      <c r="C103" s="28">
        <v>821</v>
      </c>
      <c r="D103" s="28">
        <v>556</v>
      </c>
      <c r="E103" s="115">
        <f t="shared" si="3"/>
        <v>0.7083692838654012</v>
      </c>
      <c r="F103" s="116">
        <f t="shared" si="3"/>
        <v>0.6772228989037758</v>
      </c>
      <c r="G103" s="28">
        <v>478</v>
      </c>
      <c r="H103" s="28">
        <v>312</v>
      </c>
      <c r="I103" s="28">
        <v>268</v>
      </c>
      <c r="J103" s="117">
        <f t="shared" si="4"/>
        <v>0.6527196652719666</v>
      </c>
      <c r="K103" s="118">
        <f t="shared" si="4"/>
        <v>0.8589743589743589</v>
      </c>
      <c r="L103" s="28">
        <v>1637</v>
      </c>
      <c r="M103" s="28">
        <v>1133</v>
      </c>
      <c r="N103" s="28">
        <v>824</v>
      </c>
      <c r="O103" s="117">
        <f t="shared" si="5"/>
        <v>0.6921197312156384</v>
      </c>
      <c r="P103" s="118">
        <f t="shared" si="5"/>
        <v>0.7272727272727273</v>
      </c>
    </row>
    <row r="104" spans="1:16" ht="15.75">
      <c r="A104" s="50" t="s">
        <v>131</v>
      </c>
      <c r="B104" s="28">
        <v>408</v>
      </c>
      <c r="C104" s="28">
        <v>367</v>
      </c>
      <c r="D104" s="28">
        <v>255</v>
      </c>
      <c r="E104" s="115">
        <f t="shared" si="3"/>
        <v>0.8995098039215687</v>
      </c>
      <c r="F104" s="116">
        <f t="shared" si="3"/>
        <v>0.6948228882833788</v>
      </c>
      <c r="G104" s="28">
        <v>178</v>
      </c>
      <c r="H104" s="28">
        <v>169</v>
      </c>
      <c r="I104" s="28">
        <v>155</v>
      </c>
      <c r="J104" s="117">
        <f t="shared" si="4"/>
        <v>0.949438202247191</v>
      </c>
      <c r="K104" s="118">
        <f t="shared" si="4"/>
        <v>0.9171597633136095</v>
      </c>
      <c r="L104" s="28">
        <v>586</v>
      </c>
      <c r="M104" s="28">
        <v>536</v>
      </c>
      <c r="N104" s="28">
        <v>410</v>
      </c>
      <c r="O104" s="117">
        <f t="shared" si="5"/>
        <v>0.9146757679180887</v>
      </c>
      <c r="P104" s="118">
        <f t="shared" si="5"/>
        <v>0.7649253731343284</v>
      </c>
    </row>
    <row r="105" spans="1:16" ht="15.75">
      <c r="A105" s="50" t="s">
        <v>274</v>
      </c>
      <c r="B105" s="28">
        <v>499</v>
      </c>
      <c r="C105" s="28">
        <v>326</v>
      </c>
      <c r="D105" s="28">
        <v>259</v>
      </c>
      <c r="E105" s="115">
        <f t="shared" si="3"/>
        <v>0.6533066132264529</v>
      </c>
      <c r="F105" s="116">
        <f t="shared" si="3"/>
        <v>0.7944785276073619</v>
      </c>
      <c r="G105" s="28">
        <v>97</v>
      </c>
      <c r="H105" s="28">
        <v>69</v>
      </c>
      <c r="I105" s="28">
        <v>57</v>
      </c>
      <c r="J105" s="117">
        <f t="shared" si="4"/>
        <v>0.711340206185567</v>
      </c>
      <c r="K105" s="118">
        <f t="shared" si="4"/>
        <v>0.8260869565217391</v>
      </c>
      <c r="L105" s="28">
        <v>596</v>
      </c>
      <c r="M105" s="28">
        <v>395</v>
      </c>
      <c r="N105" s="28">
        <v>316</v>
      </c>
      <c r="O105" s="117">
        <f t="shared" si="5"/>
        <v>0.662751677852349</v>
      </c>
      <c r="P105" s="118">
        <f t="shared" si="5"/>
        <v>0.8</v>
      </c>
    </row>
    <row r="106" spans="1:16" ht="15.75">
      <c r="A106" s="50" t="s">
        <v>275</v>
      </c>
      <c r="B106" s="28">
        <v>1123</v>
      </c>
      <c r="C106" s="28">
        <v>376</v>
      </c>
      <c r="D106" s="28">
        <v>265</v>
      </c>
      <c r="E106" s="115">
        <f t="shared" si="3"/>
        <v>0.3348174532502226</v>
      </c>
      <c r="F106" s="116">
        <f t="shared" si="3"/>
        <v>0.7047872340425532</v>
      </c>
      <c r="G106" s="28">
        <v>423</v>
      </c>
      <c r="H106" s="28">
        <v>226</v>
      </c>
      <c r="I106" s="28">
        <v>195</v>
      </c>
      <c r="J106" s="117">
        <f t="shared" si="4"/>
        <v>0.5342789598108747</v>
      </c>
      <c r="K106" s="118">
        <f t="shared" si="4"/>
        <v>0.8628318584070797</v>
      </c>
      <c r="L106" s="28">
        <v>1546</v>
      </c>
      <c r="M106" s="28">
        <v>602</v>
      </c>
      <c r="N106" s="28">
        <v>460</v>
      </c>
      <c r="O106" s="117">
        <f t="shared" si="5"/>
        <v>0.38939197930142305</v>
      </c>
      <c r="P106" s="118">
        <f t="shared" si="5"/>
        <v>0.7641196013289037</v>
      </c>
    </row>
    <row r="107" spans="1:16" ht="15.75">
      <c r="A107" s="47" t="s">
        <v>133</v>
      </c>
      <c r="B107" s="66">
        <v>2130</v>
      </c>
      <c r="C107" s="66">
        <v>1487</v>
      </c>
      <c r="D107" s="66">
        <v>961</v>
      </c>
      <c r="E107" s="119">
        <f t="shared" si="3"/>
        <v>0.6981220657276995</v>
      </c>
      <c r="F107" s="119">
        <f t="shared" si="3"/>
        <v>0.6462676529926026</v>
      </c>
      <c r="G107" s="66">
        <v>724</v>
      </c>
      <c r="H107" s="66">
        <v>556</v>
      </c>
      <c r="I107" s="66">
        <v>401</v>
      </c>
      <c r="J107" s="120">
        <f t="shared" si="4"/>
        <v>0.7679558011049724</v>
      </c>
      <c r="K107" s="120">
        <f t="shared" si="4"/>
        <v>0.7212230215827338</v>
      </c>
      <c r="L107" s="66">
        <v>2847</v>
      </c>
      <c r="M107" s="66">
        <v>2042</v>
      </c>
      <c r="N107" s="66">
        <v>1362</v>
      </c>
      <c r="O107" s="120">
        <f t="shared" si="5"/>
        <v>0.7172462240955392</v>
      </c>
      <c r="P107" s="120">
        <f t="shared" si="5"/>
        <v>0.6669931439764937</v>
      </c>
    </row>
    <row r="108" spans="1:16" ht="15.75">
      <c r="A108" s="50" t="s">
        <v>269</v>
      </c>
      <c r="B108" s="28">
        <v>97</v>
      </c>
      <c r="C108" s="28">
        <v>97</v>
      </c>
      <c r="D108" s="28">
        <v>56</v>
      </c>
      <c r="E108" s="115">
        <f t="shared" si="3"/>
        <v>1</v>
      </c>
      <c r="F108" s="116">
        <f t="shared" si="3"/>
        <v>0.5773195876288659</v>
      </c>
      <c r="G108" s="28">
        <v>59</v>
      </c>
      <c r="H108" s="28">
        <v>59</v>
      </c>
      <c r="I108" s="28">
        <v>55</v>
      </c>
      <c r="J108" s="117">
        <f t="shared" si="4"/>
        <v>1</v>
      </c>
      <c r="K108" s="118">
        <f t="shared" si="4"/>
        <v>0.9322033898305084</v>
      </c>
      <c r="L108" s="28">
        <v>156</v>
      </c>
      <c r="M108" s="28">
        <v>156</v>
      </c>
      <c r="N108" s="28">
        <v>111</v>
      </c>
      <c r="O108" s="117">
        <f t="shared" si="5"/>
        <v>1</v>
      </c>
      <c r="P108" s="118">
        <f t="shared" si="5"/>
        <v>0.7115384615384616</v>
      </c>
    </row>
    <row r="109" spans="1:16" ht="15.75">
      <c r="A109" s="50" t="s">
        <v>236</v>
      </c>
      <c r="B109" s="28">
        <v>434</v>
      </c>
      <c r="C109" s="28">
        <v>342</v>
      </c>
      <c r="D109" s="28">
        <v>206</v>
      </c>
      <c r="E109" s="115">
        <f t="shared" si="3"/>
        <v>0.7880184331797235</v>
      </c>
      <c r="F109" s="116">
        <f t="shared" si="3"/>
        <v>0.6023391812865497</v>
      </c>
      <c r="G109" s="28">
        <v>148</v>
      </c>
      <c r="H109" s="28">
        <v>130</v>
      </c>
      <c r="I109" s="28">
        <v>100</v>
      </c>
      <c r="J109" s="117">
        <f t="shared" si="4"/>
        <v>0.8783783783783784</v>
      </c>
      <c r="K109" s="118">
        <f t="shared" si="4"/>
        <v>0.7692307692307693</v>
      </c>
      <c r="L109" s="28">
        <v>582</v>
      </c>
      <c r="M109" s="28">
        <v>472</v>
      </c>
      <c r="N109" s="28">
        <v>306</v>
      </c>
      <c r="O109" s="117">
        <f t="shared" si="5"/>
        <v>0.8109965635738832</v>
      </c>
      <c r="P109" s="118">
        <f t="shared" si="5"/>
        <v>0.6483050847457628</v>
      </c>
    </row>
    <row r="110" spans="1:16" ht="15.75">
      <c r="A110" s="50" t="s">
        <v>134</v>
      </c>
      <c r="B110" s="28">
        <v>340</v>
      </c>
      <c r="C110" s="28">
        <v>299</v>
      </c>
      <c r="D110" s="28">
        <v>210</v>
      </c>
      <c r="E110" s="115">
        <f t="shared" si="3"/>
        <v>0.8794117647058823</v>
      </c>
      <c r="F110" s="116">
        <f t="shared" si="3"/>
        <v>0.7023411371237458</v>
      </c>
      <c r="G110" s="28">
        <v>106</v>
      </c>
      <c r="H110" s="28">
        <v>106</v>
      </c>
      <c r="I110" s="28">
        <v>87</v>
      </c>
      <c r="J110" s="117">
        <f t="shared" si="4"/>
        <v>1</v>
      </c>
      <c r="K110" s="118">
        <f t="shared" si="4"/>
        <v>0.8207547169811321</v>
      </c>
      <c r="L110" s="28">
        <v>444</v>
      </c>
      <c r="M110" s="28">
        <v>404</v>
      </c>
      <c r="N110" s="28">
        <v>297</v>
      </c>
      <c r="O110" s="117">
        <f t="shared" si="5"/>
        <v>0.9099099099099099</v>
      </c>
      <c r="P110" s="118">
        <f t="shared" si="5"/>
        <v>0.7351485148514851</v>
      </c>
    </row>
    <row r="111" spans="1:16" ht="15.75">
      <c r="A111" s="50" t="s">
        <v>135</v>
      </c>
      <c r="B111" s="28">
        <v>869</v>
      </c>
      <c r="C111" s="28">
        <v>499</v>
      </c>
      <c r="D111" s="28">
        <v>318</v>
      </c>
      <c r="E111" s="115">
        <f t="shared" si="3"/>
        <v>0.5742232451093211</v>
      </c>
      <c r="F111" s="116">
        <f t="shared" si="3"/>
        <v>0.6372745490981964</v>
      </c>
      <c r="G111" s="28">
        <v>411</v>
      </c>
      <c r="H111" s="28">
        <v>261</v>
      </c>
      <c r="I111" s="28">
        <v>159</v>
      </c>
      <c r="J111" s="117">
        <f t="shared" si="4"/>
        <v>0.635036496350365</v>
      </c>
      <c r="K111" s="118">
        <f t="shared" si="4"/>
        <v>0.6091954022988506</v>
      </c>
      <c r="L111" s="28">
        <v>1275</v>
      </c>
      <c r="M111" s="28">
        <v>760</v>
      </c>
      <c r="N111" s="28">
        <v>477</v>
      </c>
      <c r="O111" s="117">
        <f t="shared" si="5"/>
        <v>0.596078431372549</v>
      </c>
      <c r="P111" s="118">
        <f t="shared" si="5"/>
        <v>0.6276315789473684</v>
      </c>
    </row>
    <row r="112" spans="1:16" ht="15.75">
      <c r="A112" s="50" t="s">
        <v>136</v>
      </c>
      <c r="B112" s="28">
        <v>390</v>
      </c>
      <c r="C112" s="28">
        <v>250</v>
      </c>
      <c r="D112" s="28">
        <v>171</v>
      </c>
      <c r="E112" s="115">
        <f t="shared" si="3"/>
        <v>0.6410256410256411</v>
      </c>
      <c r="F112" s="116">
        <f t="shared" si="3"/>
        <v>0.684</v>
      </c>
      <c r="G112" s="28">
        <v>0</v>
      </c>
      <c r="H112" s="28">
        <v>0</v>
      </c>
      <c r="I112" s="28">
        <v>0</v>
      </c>
      <c r="J112" s="117" t="str">
        <f t="shared" si="4"/>
        <v>x</v>
      </c>
      <c r="K112" s="118" t="str">
        <f t="shared" si="4"/>
        <v>x</v>
      </c>
      <c r="L112" s="28">
        <v>390</v>
      </c>
      <c r="M112" s="28">
        <v>250</v>
      </c>
      <c r="N112" s="28">
        <v>171</v>
      </c>
      <c r="O112" s="117">
        <f t="shared" si="5"/>
        <v>0.6410256410256411</v>
      </c>
      <c r="P112" s="118">
        <f t="shared" si="5"/>
        <v>0.684</v>
      </c>
    </row>
    <row r="113" spans="1:16" ht="15.75">
      <c r="A113" s="47" t="s">
        <v>137</v>
      </c>
      <c r="B113" s="66">
        <v>576</v>
      </c>
      <c r="C113" s="66">
        <v>200</v>
      </c>
      <c r="D113" s="66">
        <v>186</v>
      </c>
      <c r="E113" s="119">
        <f t="shared" si="3"/>
        <v>0.3472222222222222</v>
      </c>
      <c r="F113" s="119">
        <f t="shared" si="3"/>
        <v>0.93</v>
      </c>
      <c r="G113" s="66">
        <v>0</v>
      </c>
      <c r="H113" s="66">
        <v>0</v>
      </c>
      <c r="I113" s="66">
        <v>0</v>
      </c>
      <c r="J113" s="120" t="str">
        <f t="shared" si="4"/>
        <v>x</v>
      </c>
      <c r="K113" s="120" t="str">
        <f t="shared" si="4"/>
        <v>x</v>
      </c>
      <c r="L113" s="66">
        <v>576</v>
      </c>
      <c r="M113" s="66">
        <v>200</v>
      </c>
      <c r="N113" s="66">
        <v>186</v>
      </c>
      <c r="O113" s="120">
        <f t="shared" si="5"/>
        <v>0.3472222222222222</v>
      </c>
      <c r="P113" s="120">
        <f t="shared" si="5"/>
        <v>0.93</v>
      </c>
    </row>
    <row r="114" spans="1:16" ht="15.75">
      <c r="A114" s="50" t="s">
        <v>138</v>
      </c>
      <c r="B114" s="28">
        <v>198</v>
      </c>
      <c r="C114" s="28">
        <v>68</v>
      </c>
      <c r="D114" s="28">
        <v>63</v>
      </c>
      <c r="E114" s="115">
        <f t="shared" si="3"/>
        <v>0.3434343434343434</v>
      </c>
      <c r="F114" s="116">
        <f t="shared" si="3"/>
        <v>0.9264705882352942</v>
      </c>
      <c r="G114" s="28">
        <v>0</v>
      </c>
      <c r="H114" s="28">
        <v>0</v>
      </c>
      <c r="I114" s="28">
        <v>0</v>
      </c>
      <c r="J114" s="117" t="str">
        <f t="shared" si="4"/>
        <v>x</v>
      </c>
      <c r="K114" s="118" t="str">
        <f t="shared" si="4"/>
        <v>x</v>
      </c>
      <c r="L114" s="28">
        <v>198</v>
      </c>
      <c r="M114" s="28">
        <v>68</v>
      </c>
      <c r="N114" s="28">
        <v>63</v>
      </c>
      <c r="O114" s="117">
        <f t="shared" si="5"/>
        <v>0.3434343434343434</v>
      </c>
      <c r="P114" s="118">
        <f t="shared" si="5"/>
        <v>0.9264705882352942</v>
      </c>
    </row>
    <row r="115" spans="1:16" ht="15.75">
      <c r="A115" s="50" t="s">
        <v>139</v>
      </c>
      <c r="B115" s="28">
        <v>220</v>
      </c>
      <c r="C115" s="28">
        <v>64</v>
      </c>
      <c r="D115" s="28">
        <v>59</v>
      </c>
      <c r="E115" s="115">
        <f t="shared" si="3"/>
        <v>0.2909090909090909</v>
      </c>
      <c r="F115" s="116">
        <f t="shared" si="3"/>
        <v>0.921875</v>
      </c>
      <c r="G115" s="28">
        <v>0</v>
      </c>
      <c r="H115" s="28">
        <v>0</v>
      </c>
      <c r="I115" s="28">
        <v>0</v>
      </c>
      <c r="J115" s="117" t="str">
        <f t="shared" si="4"/>
        <v>x</v>
      </c>
      <c r="K115" s="118" t="str">
        <f t="shared" si="4"/>
        <v>x</v>
      </c>
      <c r="L115" s="28">
        <v>220</v>
      </c>
      <c r="M115" s="28">
        <v>64</v>
      </c>
      <c r="N115" s="28">
        <v>59</v>
      </c>
      <c r="O115" s="117">
        <f t="shared" si="5"/>
        <v>0.2909090909090909</v>
      </c>
      <c r="P115" s="118">
        <f t="shared" si="5"/>
        <v>0.921875</v>
      </c>
    </row>
    <row r="116" spans="1:16" ht="15.75">
      <c r="A116" s="50" t="s">
        <v>140</v>
      </c>
      <c r="B116" s="28">
        <v>158</v>
      </c>
      <c r="C116" s="28">
        <v>68</v>
      </c>
      <c r="D116" s="28">
        <v>64</v>
      </c>
      <c r="E116" s="115">
        <f t="shared" si="3"/>
        <v>0.43037974683544306</v>
      </c>
      <c r="F116" s="116">
        <f t="shared" si="3"/>
        <v>0.9411764705882353</v>
      </c>
      <c r="G116" s="28">
        <v>0</v>
      </c>
      <c r="H116" s="28">
        <v>0</v>
      </c>
      <c r="I116" s="28">
        <v>0</v>
      </c>
      <c r="J116" s="117" t="str">
        <f t="shared" si="4"/>
        <v>x</v>
      </c>
      <c r="K116" s="118" t="str">
        <f t="shared" si="4"/>
        <v>x</v>
      </c>
      <c r="L116" s="28">
        <v>158</v>
      </c>
      <c r="M116" s="28">
        <v>68</v>
      </c>
      <c r="N116" s="28">
        <v>64</v>
      </c>
      <c r="O116" s="117">
        <f t="shared" si="5"/>
        <v>0.43037974683544306</v>
      </c>
      <c r="P116" s="118">
        <f t="shared" si="5"/>
        <v>0.9411764705882353</v>
      </c>
    </row>
    <row r="117" spans="1:16" ht="15.75">
      <c r="A117" s="47" t="s">
        <v>141</v>
      </c>
      <c r="B117" s="66">
        <v>558</v>
      </c>
      <c r="C117" s="66">
        <v>89</v>
      </c>
      <c r="D117" s="66">
        <v>89</v>
      </c>
      <c r="E117" s="119">
        <f t="shared" si="3"/>
        <v>0.15949820788530467</v>
      </c>
      <c r="F117" s="119">
        <f t="shared" si="3"/>
        <v>1</v>
      </c>
      <c r="G117" s="66">
        <v>0</v>
      </c>
      <c r="H117" s="66">
        <v>0</v>
      </c>
      <c r="I117" s="66">
        <v>0</v>
      </c>
      <c r="J117" s="120" t="str">
        <f t="shared" si="4"/>
        <v>x</v>
      </c>
      <c r="K117" s="120" t="str">
        <f t="shared" si="4"/>
        <v>x</v>
      </c>
      <c r="L117" s="66">
        <v>558</v>
      </c>
      <c r="M117" s="66">
        <v>89</v>
      </c>
      <c r="N117" s="66">
        <v>89</v>
      </c>
      <c r="O117" s="120">
        <f t="shared" si="5"/>
        <v>0.15949820788530467</v>
      </c>
      <c r="P117" s="120">
        <f t="shared" si="5"/>
        <v>1</v>
      </c>
    </row>
    <row r="118" spans="1:16" ht="15.75">
      <c r="A118" s="47" t="s">
        <v>177</v>
      </c>
      <c r="B118" s="66">
        <v>505</v>
      </c>
      <c r="C118" s="66">
        <v>145</v>
      </c>
      <c r="D118" s="66">
        <v>123</v>
      </c>
      <c r="E118" s="119">
        <f t="shared" si="3"/>
        <v>0.2871287128712871</v>
      </c>
      <c r="F118" s="119">
        <f t="shared" si="3"/>
        <v>0.8482758620689655</v>
      </c>
      <c r="G118" s="66">
        <v>0</v>
      </c>
      <c r="H118" s="66">
        <v>0</v>
      </c>
      <c r="I118" s="66">
        <v>0</v>
      </c>
      <c r="J118" s="120" t="str">
        <f t="shared" si="4"/>
        <v>x</v>
      </c>
      <c r="K118" s="120" t="str">
        <f t="shared" si="4"/>
        <v>x</v>
      </c>
      <c r="L118" s="66">
        <v>505</v>
      </c>
      <c r="M118" s="66">
        <v>145</v>
      </c>
      <c r="N118" s="66">
        <v>123</v>
      </c>
      <c r="O118" s="120">
        <f t="shared" si="5"/>
        <v>0.2871287128712871</v>
      </c>
      <c r="P118" s="120">
        <f t="shared" si="5"/>
        <v>0.8482758620689655</v>
      </c>
    </row>
    <row r="119" spans="1:16" s="14" customFormat="1" ht="15.75">
      <c r="A119" s="50" t="s">
        <v>143</v>
      </c>
      <c r="B119" s="28">
        <v>160</v>
      </c>
      <c r="C119" s="28">
        <v>52</v>
      </c>
      <c r="D119" s="28">
        <v>49</v>
      </c>
      <c r="E119" s="115">
        <f t="shared" si="3"/>
        <v>0.325</v>
      </c>
      <c r="F119" s="116">
        <f t="shared" si="3"/>
        <v>0.9423076923076923</v>
      </c>
      <c r="G119" s="28">
        <v>0</v>
      </c>
      <c r="H119" s="28">
        <v>0</v>
      </c>
      <c r="I119" s="28">
        <v>0</v>
      </c>
      <c r="J119" s="117" t="str">
        <f t="shared" si="4"/>
        <v>x</v>
      </c>
      <c r="K119" s="118" t="str">
        <f t="shared" si="4"/>
        <v>x</v>
      </c>
      <c r="L119" s="28">
        <v>160</v>
      </c>
      <c r="M119" s="28">
        <v>52</v>
      </c>
      <c r="N119" s="28">
        <v>49</v>
      </c>
      <c r="O119" s="117">
        <f t="shared" si="5"/>
        <v>0.325</v>
      </c>
      <c r="P119" s="118">
        <f t="shared" si="5"/>
        <v>0.9423076923076923</v>
      </c>
    </row>
    <row r="120" spans="1:16" ht="15.75">
      <c r="A120" s="50" t="s">
        <v>144</v>
      </c>
      <c r="B120" s="28">
        <v>86</v>
      </c>
      <c r="C120" s="28">
        <v>43</v>
      </c>
      <c r="D120" s="28">
        <v>33</v>
      </c>
      <c r="E120" s="115">
        <f t="shared" si="3"/>
        <v>0.5</v>
      </c>
      <c r="F120" s="116">
        <f t="shared" si="3"/>
        <v>0.7674418604651163</v>
      </c>
      <c r="G120" s="28">
        <v>0</v>
      </c>
      <c r="H120" s="28">
        <v>0</v>
      </c>
      <c r="I120" s="28">
        <v>0</v>
      </c>
      <c r="J120" s="117" t="str">
        <f t="shared" si="4"/>
        <v>x</v>
      </c>
      <c r="K120" s="118" t="str">
        <f t="shared" si="4"/>
        <v>x</v>
      </c>
      <c r="L120" s="28">
        <v>86</v>
      </c>
      <c r="M120" s="28">
        <v>43</v>
      </c>
      <c r="N120" s="28">
        <v>33</v>
      </c>
      <c r="O120" s="117">
        <f t="shared" si="5"/>
        <v>0.5</v>
      </c>
      <c r="P120" s="118">
        <f t="shared" si="5"/>
        <v>0.7674418604651163</v>
      </c>
    </row>
    <row r="121" spans="1:16" ht="15.75">
      <c r="A121" s="50" t="s">
        <v>145</v>
      </c>
      <c r="B121" s="28">
        <v>259</v>
      </c>
      <c r="C121" s="28">
        <v>50</v>
      </c>
      <c r="D121" s="28">
        <v>41</v>
      </c>
      <c r="E121" s="115">
        <f t="shared" si="3"/>
        <v>0.19305019305019305</v>
      </c>
      <c r="F121" s="116">
        <f t="shared" si="3"/>
        <v>0.82</v>
      </c>
      <c r="G121" s="28">
        <v>0</v>
      </c>
      <c r="H121" s="28">
        <v>0</v>
      </c>
      <c r="I121" s="28">
        <v>0</v>
      </c>
      <c r="J121" s="117" t="str">
        <f t="shared" si="4"/>
        <v>x</v>
      </c>
      <c r="K121" s="118" t="str">
        <f t="shared" si="4"/>
        <v>x</v>
      </c>
      <c r="L121" s="28">
        <v>259</v>
      </c>
      <c r="M121" s="28">
        <v>50</v>
      </c>
      <c r="N121" s="28">
        <v>41</v>
      </c>
      <c r="O121" s="117">
        <f t="shared" si="5"/>
        <v>0.19305019305019305</v>
      </c>
      <c r="P121" s="118">
        <f t="shared" si="5"/>
        <v>0.82</v>
      </c>
    </row>
    <row r="122" spans="1:16" ht="15.75">
      <c r="A122" s="47" t="s">
        <v>146</v>
      </c>
      <c r="B122" s="66">
        <v>3093</v>
      </c>
      <c r="C122" s="66">
        <v>2152</v>
      </c>
      <c r="D122" s="66">
        <v>1390</v>
      </c>
      <c r="E122" s="119">
        <f t="shared" si="3"/>
        <v>0.6957646298092467</v>
      </c>
      <c r="F122" s="119">
        <f t="shared" si="3"/>
        <v>0.645910780669145</v>
      </c>
      <c r="G122" s="66">
        <v>2924</v>
      </c>
      <c r="H122" s="66">
        <v>2275</v>
      </c>
      <c r="I122" s="66">
        <v>2103</v>
      </c>
      <c r="J122" s="120">
        <f t="shared" si="4"/>
        <v>0.7780437756497948</v>
      </c>
      <c r="K122" s="120">
        <f t="shared" si="4"/>
        <v>0.9243956043956044</v>
      </c>
      <c r="L122" s="66">
        <v>6011</v>
      </c>
      <c r="M122" s="66">
        <v>4425</v>
      </c>
      <c r="N122" s="66">
        <v>3493</v>
      </c>
      <c r="O122" s="120">
        <f t="shared" si="5"/>
        <v>0.7361503909499252</v>
      </c>
      <c r="P122" s="120">
        <f t="shared" si="5"/>
        <v>0.7893785310734464</v>
      </c>
    </row>
    <row r="123" spans="1:16" ht="15.75">
      <c r="A123" s="50" t="s">
        <v>99</v>
      </c>
      <c r="B123" s="28">
        <v>348</v>
      </c>
      <c r="C123" s="28">
        <v>184</v>
      </c>
      <c r="D123" s="28">
        <v>145</v>
      </c>
      <c r="E123" s="115">
        <f t="shared" si="3"/>
        <v>0.5287356321839081</v>
      </c>
      <c r="F123" s="116">
        <f t="shared" si="3"/>
        <v>0.7880434782608695</v>
      </c>
      <c r="G123" s="28">
        <v>788</v>
      </c>
      <c r="H123" s="28">
        <v>443</v>
      </c>
      <c r="I123" s="28">
        <v>419</v>
      </c>
      <c r="J123" s="117">
        <f t="shared" si="4"/>
        <v>0.5621827411167513</v>
      </c>
      <c r="K123" s="118">
        <f t="shared" si="4"/>
        <v>0.945823927765237</v>
      </c>
      <c r="L123" s="28">
        <v>1135</v>
      </c>
      <c r="M123" s="28">
        <v>627</v>
      </c>
      <c r="N123" s="28">
        <v>564</v>
      </c>
      <c r="O123" s="117">
        <f t="shared" si="5"/>
        <v>0.5524229074889868</v>
      </c>
      <c r="P123" s="118">
        <f t="shared" si="5"/>
        <v>0.8995215311004785</v>
      </c>
    </row>
    <row r="124" spans="1:16" ht="15.75">
      <c r="A124" s="50" t="s">
        <v>83</v>
      </c>
      <c r="B124" s="28">
        <v>1205</v>
      </c>
      <c r="C124" s="28">
        <v>801</v>
      </c>
      <c r="D124" s="28">
        <v>429</v>
      </c>
      <c r="E124" s="115">
        <f t="shared" si="3"/>
        <v>0.6647302904564315</v>
      </c>
      <c r="F124" s="116">
        <f t="shared" si="3"/>
        <v>0.5355805243445693</v>
      </c>
      <c r="G124" s="28">
        <v>0</v>
      </c>
      <c r="H124" s="28">
        <v>0</v>
      </c>
      <c r="I124" s="28">
        <v>0</v>
      </c>
      <c r="J124" s="117" t="str">
        <f t="shared" si="4"/>
        <v>x</v>
      </c>
      <c r="K124" s="118" t="str">
        <f t="shared" si="4"/>
        <v>x</v>
      </c>
      <c r="L124" s="28">
        <v>1205</v>
      </c>
      <c r="M124" s="28">
        <v>801</v>
      </c>
      <c r="N124" s="28">
        <v>429</v>
      </c>
      <c r="O124" s="117">
        <f t="shared" si="5"/>
        <v>0.6647302904564315</v>
      </c>
      <c r="P124" s="118">
        <f t="shared" si="5"/>
        <v>0.5355805243445693</v>
      </c>
    </row>
    <row r="125" spans="1:16" ht="16.5" customHeight="1">
      <c r="A125" s="50" t="s">
        <v>75</v>
      </c>
      <c r="B125" s="28">
        <v>1288</v>
      </c>
      <c r="C125" s="28">
        <v>980</v>
      </c>
      <c r="D125" s="28">
        <v>703</v>
      </c>
      <c r="E125" s="115">
        <f t="shared" si="3"/>
        <v>0.7608695652173914</v>
      </c>
      <c r="F125" s="116">
        <f t="shared" si="3"/>
        <v>0.7173469387755103</v>
      </c>
      <c r="G125" s="28">
        <v>1731</v>
      </c>
      <c r="H125" s="28">
        <v>1456</v>
      </c>
      <c r="I125" s="28">
        <v>1332</v>
      </c>
      <c r="J125" s="117">
        <f t="shared" si="4"/>
        <v>0.8411322934719815</v>
      </c>
      <c r="K125" s="118">
        <f t="shared" si="4"/>
        <v>0.9148351648351648</v>
      </c>
      <c r="L125" s="28">
        <v>3014</v>
      </c>
      <c r="M125" s="28">
        <v>2434</v>
      </c>
      <c r="N125" s="28">
        <v>2035</v>
      </c>
      <c r="O125" s="117">
        <f t="shared" si="5"/>
        <v>0.807564698075647</v>
      </c>
      <c r="P125" s="118">
        <f t="shared" si="5"/>
        <v>0.8360723089564502</v>
      </c>
    </row>
    <row r="126" spans="1:16" ht="16.5" customHeight="1">
      <c r="A126" s="50" t="s">
        <v>82</v>
      </c>
      <c r="B126" s="28">
        <v>252</v>
      </c>
      <c r="C126" s="28">
        <v>187</v>
      </c>
      <c r="D126" s="28">
        <v>113</v>
      </c>
      <c r="E126" s="115">
        <f t="shared" si="3"/>
        <v>0.7420634920634921</v>
      </c>
      <c r="F126" s="116">
        <f t="shared" si="3"/>
        <v>0.6042780748663101</v>
      </c>
      <c r="G126" s="28">
        <v>405</v>
      </c>
      <c r="H126" s="28">
        <v>376</v>
      </c>
      <c r="I126" s="28">
        <v>352</v>
      </c>
      <c r="J126" s="117">
        <f t="shared" si="4"/>
        <v>0.928395061728395</v>
      </c>
      <c r="K126" s="118">
        <f t="shared" si="4"/>
        <v>0.9361702127659575</v>
      </c>
      <c r="L126" s="28">
        <v>657</v>
      </c>
      <c r="M126" s="28">
        <v>563</v>
      </c>
      <c r="N126" s="28">
        <v>465</v>
      </c>
      <c r="O126" s="117">
        <f t="shared" si="5"/>
        <v>0.8569254185692542</v>
      </c>
      <c r="P126" s="118">
        <f t="shared" si="5"/>
        <v>0.8259325044404974</v>
      </c>
    </row>
    <row r="127" spans="1:16" ht="15.75">
      <c r="A127" s="47" t="s">
        <v>147</v>
      </c>
      <c r="B127" s="66">
        <v>770</v>
      </c>
      <c r="C127" s="66">
        <v>557</v>
      </c>
      <c r="D127" s="66">
        <v>364</v>
      </c>
      <c r="E127" s="119">
        <f t="shared" si="3"/>
        <v>0.7233766233766233</v>
      </c>
      <c r="F127" s="119">
        <f t="shared" si="3"/>
        <v>0.6535008976660682</v>
      </c>
      <c r="G127" s="66">
        <v>621</v>
      </c>
      <c r="H127" s="66">
        <v>528</v>
      </c>
      <c r="I127" s="66">
        <v>502</v>
      </c>
      <c r="J127" s="120">
        <f t="shared" si="4"/>
        <v>0.8502415458937198</v>
      </c>
      <c r="K127" s="120">
        <f t="shared" si="4"/>
        <v>0.9507575757575758</v>
      </c>
      <c r="L127" s="66">
        <v>1387</v>
      </c>
      <c r="M127" s="66">
        <v>1085</v>
      </c>
      <c r="N127" s="66">
        <v>866</v>
      </c>
      <c r="O127" s="120">
        <f t="shared" si="5"/>
        <v>0.7822638788752704</v>
      </c>
      <c r="P127" s="120">
        <f t="shared" si="5"/>
        <v>0.7981566820276498</v>
      </c>
    </row>
    <row r="128" spans="1:16" ht="15.75">
      <c r="A128" s="50" t="s">
        <v>75</v>
      </c>
      <c r="B128" s="28">
        <v>391</v>
      </c>
      <c r="C128" s="28">
        <v>281</v>
      </c>
      <c r="D128" s="28">
        <v>179</v>
      </c>
      <c r="E128" s="115">
        <f t="shared" si="3"/>
        <v>0.7186700767263428</v>
      </c>
      <c r="F128" s="116">
        <f t="shared" si="3"/>
        <v>0.6370106761565836</v>
      </c>
      <c r="G128" s="28">
        <v>298</v>
      </c>
      <c r="H128" s="28">
        <v>247</v>
      </c>
      <c r="I128" s="28">
        <v>232</v>
      </c>
      <c r="J128" s="117">
        <f t="shared" si="4"/>
        <v>0.8288590604026845</v>
      </c>
      <c r="K128" s="118">
        <f t="shared" si="4"/>
        <v>0.9392712550607287</v>
      </c>
      <c r="L128" s="28">
        <v>687</v>
      </c>
      <c r="M128" s="28">
        <v>528</v>
      </c>
      <c r="N128" s="28">
        <v>411</v>
      </c>
      <c r="O128" s="117">
        <f t="shared" si="5"/>
        <v>0.7685589519650655</v>
      </c>
      <c r="P128" s="118">
        <f t="shared" si="5"/>
        <v>0.7784090909090909</v>
      </c>
    </row>
    <row r="129" spans="1:16" ht="15.75">
      <c r="A129" s="50" t="s">
        <v>95</v>
      </c>
      <c r="B129" s="28">
        <v>369</v>
      </c>
      <c r="C129" s="28">
        <v>268</v>
      </c>
      <c r="D129" s="28">
        <v>177</v>
      </c>
      <c r="E129" s="115">
        <f t="shared" si="3"/>
        <v>0.7262872628726287</v>
      </c>
      <c r="F129" s="116">
        <f t="shared" si="3"/>
        <v>0.6604477611940298</v>
      </c>
      <c r="G129" s="28">
        <v>320</v>
      </c>
      <c r="H129" s="28">
        <v>278</v>
      </c>
      <c r="I129" s="28">
        <v>267</v>
      </c>
      <c r="J129" s="117">
        <f t="shared" si="4"/>
        <v>0.86875</v>
      </c>
      <c r="K129" s="118">
        <f t="shared" si="4"/>
        <v>0.960431654676259</v>
      </c>
      <c r="L129" s="28">
        <v>687</v>
      </c>
      <c r="M129" s="28">
        <v>546</v>
      </c>
      <c r="N129" s="28">
        <v>444</v>
      </c>
      <c r="O129" s="117">
        <f t="shared" si="5"/>
        <v>0.7947598253275109</v>
      </c>
      <c r="P129" s="118">
        <f t="shared" si="5"/>
        <v>0.8131868131868132</v>
      </c>
    </row>
    <row r="130" spans="1:16" ht="15.75" customHeight="1">
      <c r="A130" s="50" t="s">
        <v>148</v>
      </c>
      <c r="B130" s="28">
        <v>10</v>
      </c>
      <c r="C130" s="28">
        <v>8</v>
      </c>
      <c r="D130" s="28">
        <v>8</v>
      </c>
      <c r="E130" s="115">
        <f t="shared" si="3"/>
        <v>0.8</v>
      </c>
      <c r="F130" s="116">
        <f t="shared" si="3"/>
        <v>1</v>
      </c>
      <c r="G130" s="28">
        <v>3</v>
      </c>
      <c r="H130" s="28">
        <v>3</v>
      </c>
      <c r="I130" s="28">
        <v>3</v>
      </c>
      <c r="J130" s="117">
        <f t="shared" si="4"/>
        <v>1</v>
      </c>
      <c r="K130" s="118">
        <f t="shared" si="4"/>
        <v>1</v>
      </c>
      <c r="L130" s="28">
        <v>13</v>
      </c>
      <c r="M130" s="28">
        <v>11</v>
      </c>
      <c r="N130" s="28">
        <v>11</v>
      </c>
      <c r="O130" s="117">
        <f t="shared" si="5"/>
        <v>0.8461538461538461</v>
      </c>
      <c r="P130" s="118">
        <f t="shared" si="5"/>
        <v>1</v>
      </c>
    </row>
    <row r="131" spans="1:16" ht="15.75">
      <c r="A131" s="47" t="s">
        <v>188</v>
      </c>
      <c r="B131" s="121">
        <v>51937</v>
      </c>
      <c r="C131" s="121">
        <v>39963</v>
      </c>
      <c r="D131" s="121">
        <v>35487</v>
      </c>
      <c r="E131" s="122">
        <f t="shared" si="3"/>
        <v>0.7694514507961568</v>
      </c>
      <c r="F131" s="122">
        <f t="shared" si="3"/>
        <v>0.8879963966669169</v>
      </c>
      <c r="G131" s="121">
        <v>29210</v>
      </c>
      <c r="H131" s="121">
        <v>19965</v>
      </c>
      <c r="I131" s="121">
        <v>16733</v>
      </c>
      <c r="J131" s="123">
        <f aca="true" t="shared" si="6" ref="J131:K150">IF(ISERROR(H131/G131),"x",H131/G131)</f>
        <v>0.6834988017802123</v>
      </c>
      <c r="K131" s="123">
        <f t="shared" si="6"/>
        <v>0.8381167042324067</v>
      </c>
      <c r="L131" s="121">
        <v>77866</v>
      </c>
      <c r="M131" s="121">
        <v>58584</v>
      </c>
      <c r="N131" s="121">
        <v>51943</v>
      </c>
      <c r="O131" s="123">
        <f aca="true" t="shared" si="7" ref="O131:P150">IF(ISERROR(M131/L131),"x",M131/L131)</f>
        <v>0.7523694552179385</v>
      </c>
      <c r="P131" s="123">
        <f t="shared" si="7"/>
        <v>0.8866414037962583</v>
      </c>
    </row>
    <row r="132" spans="1:16" ht="15.75">
      <c r="A132" s="47" t="s">
        <v>149</v>
      </c>
      <c r="B132" s="66">
        <v>397</v>
      </c>
      <c r="C132" s="66">
        <v>331</v>
      </c>
      <c r="D132" s="66">
        <v>246</v>
      </c>
      <c r="E132" s="119">
        <f>IF(ISERROR(C132/B132),"x",C132/B132)</f>
        <v>0.8337531486146096</v>
      </c>
      <c r="F132" s="119">
        <f aca="true" t="shared" si="8" ref="F132:F150">IF(ISERROR(D132/C132),"x",D132/C132)</f>
        <v>0.743202416918429</v>
      </c>
      <c r="G132" s="66">
        <v>120</v>
      </c>
      <c r="H132" s="66">
        <v>124</v>
      </c>
      <c r="I132" s="66">
        <v>86</v>
      </c>
      <c r="J132" s="120">
        <f t="shared" si="6"/>
        <v>1.0333333333333334</v>
      </c>
      <c r="K132" s="120">
        <f t="shared" si="6"/>
        <v>0.6935483870967742</v>
      </c>
      <c r="L132" s="66">
        <v>517</v>
      </c>
      <c r="M132" s="66">
        <v>455</v>
      </c>
      <c r="N132" s="66">
        <v>332</v>
      </c>
      <c r="O132" s="120">
        <f t="shared" si="7"/>
        <v>0.8800773694390716</v>
      </c>
      <c r="P132" s="120">
        <f t="shared" si="7"/>
        <v>0.7296703296703296</v>
      </c>
    </row>
    <row r="133" spans="1:16" ht="15.75">
      <c r="A133" s="47" t="s">
        <v>150</v>
      </c>
      <c r="B133" s="66"/>
      <c r="C133" s="66"/>
      <c r="D133" s="66"/>
      <c r="E133" s="119" t="str">
        <f>IF(ISERROR(C133/B133),"x",C133/B133)</f>
        <v>x</v>
      </c>
      <c r="F133" s="119" t="str">
        <f t="shared" si="8"/>
        <v>x</v>
      </c>
      <c r="G133" s="66">
        <v>2650</v>
      </c>
      <c r="H133" s="66">
        <v>2375</v>
      </c>
      <c r="I133" s="66">
        <v>2248</v>
      </c>
      <c r="J133" s="120">
        <f t="shared" si="6"/>
        <v>0.8962264150943396</v>
      </c>
      <c r="K133" s="120">
        <f t="shared" si="6"/>
        <v>0.9465263157894737</v>
      </c>
      <c r="L133" s="66">
        <v>2650</v>
      </c>
      <c r="M133" s="66">
        <v>2375</v>
      </c>
      <c r="N133" s="66">
        <v>2248</v>
      </c>
      <c r="O133" s="120">
        <f t="shared" si="7"/>
        <v>0.8962264150943396</v>
      </c>
      <c r="P133" s="120">
        <f t="shared" si="7"/>
        <v>0.9465263157894737</v>
      </c>
    </row>
    <row r="134" spans="1:16" ht="15.75">
      <c r="A134" s="50" t="s">
        <v>269</v>
      </c>
      <c r="B134" s="28">
        <v>0</v>
      </c>
      <c r="C134" s="28">
        <v>0</v>
      </c>
      <c r="D134" s="28">
        <v>0</v>
      </c>
      <c r="E134" s="115" t="str">
        <f>IF(ISERROR(C134/B134),"x",C134/B134)</f>
        <v>x</v>
      </c>
      <c r="F134" s="116" t="str">
        <f t="shared" si="8"/>
        <v>x</v>
      </c>
      <c r="G134" s="28">
        <v>2328</v>
      </c>
      <c r="H134" s="28">
        <v>2056</v>
      </c>
      <c r="I134" s="28">
        <v>1949</v>
      </c>
      <c r="J134" s="117">
        <f t="shared" si="6"/>
        <v>0.8831615120274914</v>
      </c>
      <c r="K134" s="118">
        <f t="shared" si="6"/>
        <v>0.9479571984435797</v>
      </c>
      <c r="L134" s="28">
        <v>2328</v>
      </c>
      <c r="M134" s="28">
        <v>2056</v>
      </c>
      <c r="N134" s="28">
        <v>1949</v>
      </c>
      <c r="O134" s="117">
        <f t="shared" si="7"/>
        <v>0.8831615120274914</v>
      </c>
      <c r="P134" s="118">
        <f t="shared" si="7"/>
        <v>0.9479571984435797</v>
      </c>
    </row>
    <row r="135" spans="1:16" ht="15.75">
      <c r="A135" s="50" t="s">
        <v>248</v>
      </c>
      <c r="B135" s="28">
        <v>0</v>
      </c>
      <c r="C135" s="28">
        <v>0</v>
      </c>
      <c r="D135" s="28">
        <v>0</v>
      </c>
      <c r="E135" s="115" t="str">
        <f>IF(ISERROR(C135/B135),"x",C135/B135)</f>
        <v>x</v>
      </c>
      <c r="F135" s="116" t="str">
        <f t="shared" si="8"/>
        <v>x</v>
      </c>
      <c r="G135" s="28">
        <v>221</v>
      </c>
      <c r="H135" s="28">
        <v>219</v>
      </c>
      <c r="I135" s="28">
        <v>219</v>
      </c>
      <c r="J135" s="117">
        <f t="shared" si="6"/>
        <v>0.9909502262443439</v>
      </c>
      <c r="K135" s="118">
        <f t="shared" si="6"/>
        <v>1</v>
      </c>
      <c r="L135" s="28">
        <v>221</v>
      </c>
      <c r="M135" s="28">
        <v>219</v>
      </c>
      <c r="N135" s="28">
        <v>219</v>
      </c>
      <c r="O135" s="117">
        <f t="shared" si="7"/>
        <v>0.9909502262443439</v>
      </c>
      <c r="P135" s="118">
        <f t="shared" si="7"/>
        <v>1</v>
      </c>
    </row>
    <row r="136" spans="1:16" ht="15.75">
      <c r="A136" s="50" t="s">
        <v>276</v>
      </c>
      <c r="B136" s="28">
        <v>0</v>
      </c>
      <c r="C136" s="28">
        <v>0</v>
      </c>
      <c r="D136" s="28">
        <v>0</v>
      </c>
      <c r="E136" s="115" t="str">
        <f>IF(ISERROR(C136/B136),"x",C136/B136)</f>
        <v>x</v>
      </c>
      <c r="F136" s="116" t="str">
        <f t="shared" si="8"/>
        <v>x</v>
      </c>
      <c r="G136" s="28">
        <v>101</v>
      </c>
      <c r="H136" s="28">
        <v>100</v>
      </c>
      <c r="I136" s="28">
        <v>80</v>
      </c>
      <c r="J136" s="117">
        <f t="shared" si="6"/>
        <v>0.9900990099009901</v>
      </c>
      <c r="K136" s="118">
        <f t="shared" si="6"/>
        <v>0.8</v>
      </c>
      <c r="L136" s="28">
        <v>101</v>
      </c>
      <c r="M136" s="28">
        <v>100</v>
      </c>
      <c r="N136" s="28">
        <v>80</v>
      </c>
      <c r="O136" s="117">
        <f t="shared" si="7"/>
        <v>0.9900990099009901</v>
      </c>
      <c r="P136" s="118">
        <f t="shared" si="7"/>
        <v>0.8</v>
      </c>
    </row>
    <row r="137" spans="1:16" ht="15.75">
      <c r="A137" s="47" t="s">
        <v>151</v>
      </c>
      <c r="B137" s="66">
        <v>225</v>
      </c>
      <c r="C137" s="66">
        <v>213</v>
      </c>
      <c r="D137" s="66">
        <v>116</v>
      </c>
      <c r="E137" s="119">
        <f aca="true" t="shared" si="9" ref="E137:E150">IF(ISERROR(C137/B137),"x",C137/B137)</f>
        <v>0.9466666666666667</v>
      </c>
      <c r="F137" s="119">
        <f t="shared" si="8"/>
        <v>0.5446009389671361</v>
      </c>
      <c r="G137" s="66">
        <v>1622</v>
      </c>
      <c r="H137" s="66">
        <v>1533</v>
      </c>
      <c r="I137" s="66">
        <v>1088</v>
      </c>
      <c r="J137" s="120">
        <f t="shared" si="6"/>
        <v>0.9451294697903823</v>
      </c>
      <c r="K137" s="120">
        <f t="shared" si="6"/>
        <v>0.7097195042400521</v>
      </c>
      <c r="L137" s="66">
        <v>1847</v>
      </c>
      <c r="M137" s="66">
        <v>1746</v>
      </c>
      <c r="N137" s="66">
        <v>1204</v>
      </c>
      <c r="O137" s="120">
        <f t="shared" si="7"/>
        <v>0.9453167298321603</v>
      </c>
      <c r="P137" s="120">
        <f t="shared" si="7"/>
        <v>0.6895761741122566</v>
      </c>
    </row>
    <row r="138" spans="1:16" ht="15.75">
      <c r="A138" s="47" t="s">
        <v>152</v>
      </c>
      <c r="B138" s="66">
        <v>785</v>
      </c>
      <c r="C138" s="66">
        <v>369</v>
      </c>
      <c r="D138" s="66">
        <v>265</v>
      </c>
      <c r="E138" s="119">
        <f t="shared" si="9"/>
        <v>0.47006369426751593</v>
      </c>
      <c r="F138" s="119">
        <f t="shared" si="8"/>
        <v>0.7181571815718157</v>
      </c>
      <c r="G138" s="66">
        <v>649</v>
      </c>
      <c r="H138" s="66">
        <v>471</v>
      </c>
      <c r="I138" s="66">
        <v>371</v>
      </c>
      <c r="J138" s="120">
        <f t="shared" si="6"/>
        <v>0.7257318952234206</v>
      </c>
      <c r="K138" s="120">
        <f t="shared" si="6"/>
        <v>0.7876857749469215</v>
      </c>
      <c r="L138" s="66">
        <v>1429</v>
      </c>
      <c r="M138" s="66">
        <v>838</v>
      </c>
      <c r="N138" s="66">
        <v>636</v>
      </c>
      <c r="O138" s="120">
        <f t="shared" si="7"/>
        <v>0.5864240727781665</v>
      </c>
      <c r="P138" s="120">
        <f t="shared" si="7"/>
        <v>0.7589498806682577</v>
      </c>
    </row>
    <row r="139" spans="1:16" ht="15.75">
      <c r="A139" s="50" t="s">
        <v>249</v>
      </c>
      <c r="B139" s="28">
        <v>591</v>
      </c>
      <c r="C139" s="28">
        <v>233</v>
      </c>
      <c r="D139" s="28">
        <v>183</v>
      </c>
      <c r="E139" s="115">
        <f t="shared" si="9"/>
        <v>0.3942470389170897</v>
      </c>
      <c r="F139" s="116">
        <f t="shared" si="8"/>
        <v>0.7854077253218884</v>
      </c>
      <c r="G139" s="28">
        <v>581</v>
      </c>
      <c r="H139" s="28">
        <v>424</v>
      </c>
      <c r="I139" s="28">
        <v>338</v>
      </c>
      <c r="J139" s="117">
        <f t="shared" si="6"/>
        <v>0.729776247848537</v>
      </c>
      <c r="K139" s="118">
        <f t="shared" si="6"/>
        <v>0.7971698113207547</v>
      </c>
      <c r="L139" s="28">
        <v>1167</v>
      </c>
      <c r="M139" s="28">
        <v>655</v>
      </c>
      <c r="N139" s="28">
        <v>521</v>
      </c>
      <c r="O139" s="117">
        <f t="shared" si="7"/>
        <v>0.5612682090831191</v>
      </c>
      <c r="P139" s="118">
        <f t="shared" si="7"/>
        <v>0.7954198473282442</v>
      </c>
    </row>
    <row r="140" spans="1:16" ht="15.75">
      <c r="A140" s="50" t="s">
        <v>250</v>
      </c>
      <c r="B140" s="28">
        <v>194</v>
      </c>
      <c r="C140" s="28">
        <v>136</v>
      </c>
      <c r="D140" s="28">
        <v>82</v>
      </c>
      <c r="E140" s="115">
        <f t="shared" si="9"/>
        <v>0.7010309278350515</v>
      </c>
      <c r="F140" s="116">
        <f t="shared" si="8"/>
        <v>0.6029411764705882</v>
      </c>
      <c r="G140" s="28">
        <v>68</v>
      </c>
      <c r="H140" s="28">
        <v>47</v>
      </c>
      <c r="I140" s="28">
        <v>33</v>
      </c>
      <c r="J140" s="117">
        <f t="shared" si="6"/>
        <v>0.6911764705882353</v>
      </c>
      <c r="K140" s="118">
        <f t="shared" si="6"/>
        <v>0.7021276595744681</v>
      </c>
      <c r="L140" s="28">
        <v>262</v>
      </c>
      <c r="M140" s="28">
        <v>183</v>
      </c>
      <c r="N140" s="28">
        <v>115</v>
      </c>
      <c r="O140" s="117">
        <f t="shared" si="7"/>
        <v>0.6984732824427481</v>
      </c>
      <c r="P140" s="118">
        <f t="shared" si="7"/>
        <v>0.6284153005464481</v>
      </c>
    </row>
    <row r="141" spans="1:16" ht="15.75">
      <c r="A141" s="47" t="s">
        <v>194</v>
      </c>
      <c r="B141" s="66">
        <v>120</v>
      </c>
      <c r="C141" s="66">
        <v>117</v>
      </c>
      <c r="D141" s="66">
        <v>102</v>
      </c>
      <c r="E141" s="119">
        <f t="shared" si="9"/>
        <v>0.975</v>
      </c>
      <c r="F141" s="119">
        <f t="shared" si="8"/>
        <v>0.8717948717948718</v>
      </c>
      <c r="G141" s="66">
        <v>914</v>
      </c>
      <c r="H141" s="66">
        <v>737</v>
      </c>
      <c r="I141" s="66">
        <v>627</v>
      </c>
      <c r="J141" s="120">
        <f t="shared" si="6"/>
        <v>0.8063457330415755</v>
      </c>
      <c r="K141" s="120">
        <f t="shared" si="6"/>
        <v>0.8507462686567164</v>
      </c>
      <c r="L141" s="66">
        <v>1031</v>
      </c>
      <c r="M141" s="66">
        <v>852</v>
      </c>
      <c r="N141" s="66">
        <v>728</v>
      </c>
      <c r="O141" s="120">
        <f t="shared" si="7"/>
        <v>0.8263821532492726</v>
      </c>
      <c r="P141" s="120">
        <f t="shared" si="7"/>
        <v>0.8544600938967136</v>
      </c>
    </row>
    <row r="142" spans="1:16" ht="15.75">
      <c r="A142" s="50" t="s">
        <v>251</v>
      </c>
      <c r="B142" s="28">
        <v>98</v>
      </c>
      <c r="C142" s="28">
        <v>96</v>
      </c>
      <c r="D142" s="28">
        <v>81</v>
      </c>
      <c r="E142" s="115">
        <f t="shared" si="9"/>
        <v>0.9795918367346939</v>
      </c>
      <c r="F142" s="116">
        <f t="shared" si="8"/>
        <v>0.84375</v>
      </c>
      <c r="G142" s="28">
        <v>297</v>
      </c>
      <c r="H142" s="28">
        <v>225</v>
      </c>
      <c r="I142" s="28">
        <v>214</v>
      </c>
      <c r="J142" s="117">
        <f t="shared" si="6"/>
        <v>0.7575757575757576</v>
      </c>
      <c r="K142" s="118">
        <f t="shared" si="6"/>
        <v>0.9511111111111111</v>
      </c>
      <c r="L142" s="28">
        <v>393</v>
      </c>
      <c r="M142" s="28">
        <v>320</v>
      </c>
      <c r="N142" s="28">
        <v>294</v>
      </c>
      <c r="O142" s="117">
        <f t="shared" si="7"/>
        <v>0.8142493638676844</v>
      </c>
      <c r="P142" s="118">
        <f t="shared" si="7"/>
        <v>0.91875</v>
      </c>
    </row>
    <row r="143" spans="1:16" ht="15.75">
      <c r="A143" s="50" t="s">
        <v>252</v>
      </c>
      <c r="B143" s="28">
        <v>22</v>
      </c>
      <c r="C143" s="28">
        <v>21</v>
      </c>
      <c r="D143" s="28">
        <v>21</v>
      </c>
      <c r="E143" s="115">
        <f t="shared" si="9"/>
        <v>0.9545454545454546</v>
      </c>
      <c r="F143" s="116">
        <f t="shared" si="8"/>
        <v>1</v>
      </c>
      <c r="G143" s="28">
        <v>617</v>
      </c>
      <c r="H143" s="28">
        <v>512</v>
      </c>
      <c r="I143" s="28">
        <v>413</v>
      </c>
      <c r="J143" s="117">
        <f t="shared" si="6"/>
        <v>0.8298217179902755</v>
      </c>
      <c r="K143" s="118">
        <f t="shared" si="6"/>
        <v>0.806640625</v>
      </c>
      <c r="L143" s="28">
        <v>638</v>
      </c>
      <c r="M143" s="28">
        <v>532</v>
      </c>
      <c r="N143" s="28">
        <v>434</v>
      </c>
      <c r="O143" s="117">
        <f t="shared" si="7"/>
        <v>0.8338557993730408</v>
      </c>
      <c r="P143" s="118">
        <f t="shared" si="7"/>
        <v>0.8157894736842105</v>
      </c>
    </row>
    <row r="144" spans="1:16" ht="15.75">
      <c r="A144" s="47" t="s">
        <v>195</v>
      </c>
      <c r="B144" s="66">
        <v>145</v>
      </c>
      <c r="C144" s="66">
        <v>140</v>
      </c>
      <c r="D144" s="66">
        <v>89</v>
      </c>
      <c r="E144" s="119">
        <f t="shared" si="9"/>
        <v>0.9655172413793104</v>
      </c>
      <c r="F144" s="119">
        <f t="shared" si="8"/>
        <v>0.6357142857142857</v>
      </c>
      <c r="G144" s="66">
        <v>128</v>
      </c>
      <c r="H144" s="66">
        <v>127</v>
      </c>
      <c r="I144" s="66">
        <v>102</v>
      </c>
      <c r="J144" s="120">
        <f t="shared" si="6"/>
        <v>0.9921875</v>
      </c>
      <c r="K144" s="120">
        <f t="shared" si="6"/>
        <v>0.8031496062992126</v>
      </c>
      <c r="L144" s="66">
        <v>273</v>
      </c>
      <c r="M144" s="66">
        <v>267</v>
      </c>
      <c r="N144" s="66">
        <v>191</v>
      </c>
      <c r="O144" s="120">
        <f t="shared" si="7"/>
        <v>0.978021978021978</v>
      </c>
      <c r="P144" s="120">
        <f t="shared" si="7"/>
        <v>0.7153558052434457</v>
      </c>
    </row>
    <row r="145" spans="1:16" ht="15.75">
      <c r="A145" s="47" t="s">
        <v>253</v>
      </c>
      <c r="B145" s="66">
        <v>146</v>
      </c>
      <c r="C145" s="66">
        <v>146</v>
      </c>
      <c r="D145" s="66">
        <v>91</v>
      </c>
      <c r="E145" s="119">
        <f t="shared" si="9"/>
        <v>1</v>
      </c>
      <c r="F145" s="119">
        <f t="shared" si="8"/>
        <v>0.6232876712328768</v>
      </c>
      <c r="G145" s="66">
        <v>253</v>
      </c>
      <c r="H145" s="66">
        <v>253</v>
      </c>
      <c r="I145" s="66">
        <v>195</v>
      </c>
      <c r="J145" s="120">
        <f t="shared" si="6"/>
        <v>1</v>
      </c>
      <c r="K145" s="120">
        <f t="shared" si="6"/>
        <v>0.7707509881422925</v>
      </c>
      <c r="L145" s="66">
        <v>395</v>
      </c>
      <c r="M145" s="66">
        <v>395</v>
      </c>
      <c r="N145" s="66">
        <v>286</v>
      </c>
      <c r="O145" s="120">
        <f t="shared" si="7"/>
        <v>1</v>
      </c>
      <c r="P145" s="120">
        <f t="shared" si="7"/>
        <v>0.7240506329113924</v>
      </c>
    </row>
    <row r="146" spans="1:16" ht="15.75">
      <c r="A146" s="47" t="s">
        <v>254</v>
      </c>
      <c r="B146" s="66">
        <v>0</v>
      </c>
      <c r="C146" s="66">
        <v>0</v>
      </c>
      <c r="D146" s="66">
        <v>0</v>
      </c>
      <c r="E146" s="119" t="str">
        <f t="shared" si="9"/>
        <v>x</v>
      </c>
      <c r="F146" s="119" t="str">
        <f t="shared" si="8"/>
        <v>x</v>
      </c>
      <c r="G146" s="66">
        <v>1094</v>
      </c>
      <c r="H146" s="66">
        <v>1094</v>
      </c>
      <c r="I146" s="66">
        <v>1046</v>
      </c>
      <c r="J146" s="120">
        <f t="shared" si="6"/>
        <v>1</v>
      </c>
      <c r="K146" s="120">
        <f t="shared" si="6"/>
        <v>0.9561243144424132</v>
      </c>
      <c r="L146" s="66">
        <v>1094</v>
      </c>
      <c r="M146" s="66">
        <v>1094</v>
      </c>
      <c r="N146" s="66">
        <v>1046</v>
      </c>
      <c r="O146" s="120">
        <f t="shared" si="7"/>
        <v>1</v>
      </c>
      <c r="P146" s="120">
        <f t="shared" si="7"/>
        <v>0.9561243144424132</v>
      </c>
    </row>
    <row r="147" spans="1:16" ht="15.75">
      <c r="A147" s="47" t="s">
        <v>255</v>
      </c>
      <c r="B147" s="66">
        <v>22</v>
      </c>
      <c r="C147" s="66">
        <v>16</v>
      </c>
      <c r="D147" s="66">
        <v>14</v>
      </c>
      <c r="E147" s="119">
        <f t="shared" si="9"/>
        <v>0.7272727272727273</v>
      </c>
      <c r="F147" s="119">
        <f t="shared" si="8"/>
        <v>0.875</v>
      </c>
      <c r="G147" s="66">
        <v>0</v>
      </c>
      <c r="H147" s="66">
        <v>0</v>
      </c>
      <c r="I147" s="66">
        <v>0</v>
      </c>
      <c r="J147" s="120" t="str">
        <f t="shared" si="6"/>
        <v>x</v>
      </c>
      <c r="K147" s="120" t="str">
        <f t="shared" si="6"/>
        <v>x</v>
      </c>
      <c r="L147" s="66">
        <v>22</v>
      </c>
      <c r="M147" s="66">
        <v>16</v>
      </c>
      <c r="N147" s="66">
        <v>14</v>
      </c>
      <c r="O147" s="120">
        <f t="shared" si="7"/>
        <v>0.7272727272727273</v>
      </c>
      <c r="P147" s="120">
        <f t="shared" si="7"/>
        <v>0.875</v>
      </c>
    </row>
    <row r="148" spans="1:16" ht="15.75">
      <c r="A148" s="47" t="s">
        <v>256</v>
      </c>
      <c r="B148" s="66">
        <v>174</v>
      </c>
      <c r="C148" s="66">
        <v>148</v>
      </c>
      <c r="D148" s="66">
        <v>148</v>
      </c>
      <c r="E148" s="119">
        <f t="shared" si="9"/>
        <v>0.8505747126436781</v>
      </c>
      <c r="F148" s="119">
        <f t="shared" si="8"/>
        <v>1</v>
      </c>
      <c r="G148" s="66">
        <v>247</v>
      </c>
      <c r="H148" s="66">
        <v>216</v>
      </c>
      <c r="I148" s="66">
        <v>216</v>
      </c>
      <c r="J148" s="120">
        <f t="shared" si="6"/>
        <v>0.8744939271255061</v>
      </c>
      <c r="K148" s="120">
        <f t="shared" si="6"/>
        <v>1</v>
      </c>
      <c r="L148" s="66">
        <v>421</v>
      </c>
      <c r="M148" s="66">
        <v>364</v>
      </c>
      <c r="N148" s="66">
        <v>364</v>
      </c>
      <c r="O148" s="120">
        <f t="shared" si="7"/>
        <v>0.8646080760095012</v>
      </c>
      <c r="P148" s="120">
        <f t="shared" si="7"/>
        <v>1</v>
      </c>
    </row>
    <row r="149" spans="1:16" ht="15.75">
      <c r="A149" s="47" t="s">
        <v>189</v>
      </c>
      <c r="B149" s="121">
        <v>1850</v>
      </c>
      <c r="C149" s="121">
        <v>1408</v>
      </c>
      <c r="D149" s="121">
        <v>1068</v>
      </c>
      <c r="E149" s="122">
        <f t="shared" si="9"/>
        <v>0.7610810810810811</v>
      </c>
      <c r="F149" s="122">
        <f t="shared" si="8"/>
        <v>0.7585227272727273</v>
      </c>
      <c r="G149" s="121">
        <v>7420</v>
      </c>
      <c r="H149" s="121">
        <v>6791</v>
      </c>
      <c r="I149" s="121">
        <v>5946</v>
      </c>
      <c r="J149" s="123">
        <f t="shared" si="6"/>
        <v>0.9152291105121294</v>
      </c>
      <c r="K149" s="123">
        <f t="shared" si="6"/>
        <v>0.875570608157856</v>
      </c>
      <c r="L149" s="121">
        <v>9176</v>
      </c>
      <c r="M149" s="121">
        <v>8152</v>
      </c>
      <c r="N149" s="121">
        <v>7010</v>
      </c>
      <c r="O149" s="123">
        <f t="shared" si="7"/>
        <v>0.8884045335658239</v>
      </c>
      <c r="P149" s="123">
        <f t="shared" si="7"/>
        <v>0.8599116781157998</v>
      </c>
    </row>
    <row r="150" spans="1:16" ht="15.75">
      <c r="A150" s="60" t="s">
        <v>153</v>
      </c>
      <c r="B150" s="67">
        <v>52547</v>
      </c>
      <c r="C150" s="67">
        <v>40982</v>
      </c>
      <c r="D150" s="67">
        <v>36499</v>
      </c>
      <c r="E150" s="124">
        <f t="shared" si="9"/>
        <v>0.7799113174872019</v>
      </c>
      <c r="F150" s="124">
        <f t="shared" si="8"/>
        <v>0.8906105119320677</v>
      </c>
      <c r="G150" s="67">
        <v>35102</v>
      </c>
      <c r="H150" s="67">
        <v>26294</v>
      </c>
      <c r="I150" s="67">
        <v>22547</v>
      </c>
      <c r="J150" s="125">
        <f t="shared" si="6"/>
        <v>0.74907412683038</v>
      </c>
      <c r="K150" s="125">
        <f t="shared" si="6"/>
        <v>0.8574960066935422</v>
      </c>
      <c r="L150" s="67">
        <v>83630</v>
      </c>
      <c r="M150" s="67">
        <v>65603</v>
      </c>
      <c r="N150" s="67">
        <v>58669</v>
      </c>
      <c r="O150" s="125">
        <f t="shared" si="7"/>
        <v>0.7844433815616405</v>
      </c>
      <c r="P150" s="125">
        <f t="shared" si="7"/>
        <v>0.8943036141639864</v>
      </c>
    </row>
    <row r="151" spans="1:16" ht="12.75">
      <c r="A151" s="247" t="s">
        <v>190</v>
      </c>
      <c r="B151" s="248"/>
      <c r="C151" s="248"/>
      <c r="D151" s="248"/>
      <c r="E151" s="248"/>
      <c r="F151" s="248"/>
      <c r="G151" s="248"/>
      <c r="H151" s="248"/>
      <c r="I151" s="249"/>
      <c r="J151" s="250"/>
      <c r="K151" s="250"/>
      <c r="L151" s="250"/>
      <c r="M151" s="250"/>
      <c r="N151" s="250"/>
      <c r="O151" s="250"/>
      <c r="P151" s="224" t="s">
        <v>257</v>
      </c>
    </row>
    <row r="152" spans="1:16" ht="12.75" customHeight="1">
      <c r="A152" s="581" t="s">
        <v>66</v>
      </c>
      <c r="B152" s="581"/>
      <c r="C152" s="581"/>
      <c r="D152" s="581"/>
      <c r="E152" s="581"/>
      <c r="F152" s="581"/>
      <c r="G152" s="581"/>
      <c r="H152" s="581"/>
      <c r="I152" s="581"/>
      <c r="J152" s="581"/>
      <c r="K152" s="581"/>
      <c r="L152" s="581"/>
      <c r="M152" s="581"/>
      <c r="N152" s="581"/>
      <c r="O152" s="581"/>
      <c r="P152" s="581"/>
    </row>
    <row r="153" spans="1:16" ht="12.75">
      <c r="A153" s="581"/>
      <c r="B153" s="581"/>
      <c r="C153" s="581"/>
      <c r="D153" s="581"/>
      <c r="E153" s="581"/>
      <c r="F153" s="581"/>
      <c r="G153" s="581"/>
      <c r="H153" s="581"/>
      <c r="I153" s="581"/>
      <c r="J153" s="581"/>
      <c r="K153" s="581"/>
      <c r="L153" s="581"/>
      <c r="M153" s="581"/>
      <c r="N153" s="581"/>
      <c r="O153" s="581"/>
      <c r="P153" s="581"/>
    </row>
    <row r="154" spans="1:16" ht="12.75">
      <c r="A154" s="197" t="s">
        <v>187</v>
      </c>
      <c r="B154" s="197"/>
      <c r="C154" s="197"/>
      <c r="D154" s="197"/>
      <c r="E154" s="197"/>
      <c r="F154" s="197"/>
      <c r="G154" s="197"/>
      <c r="H154" s="197"/>
      <c r="I154" s="197"/>
      <c r="J154" s="250"/>
      <c r="K154" s="250"/>
      <c r="L154" s="250"/>
      <c r="M154" s="250"/>
      <c r="N154" s="250"/>
      <c r="O154" s="250"/>
      <c r="P154" s="250"/>
    </row>
    <row r="158" spans="12:14" ht="12.75">
      <c r="L158" s="18"/>
      <c r="M158" s="18"/>
      <c r="N158" s="18"/>
    </row>
    <row r="159" spans="4:16" ht="12.75">
      <c r="D159" s="18"/>
      <c r="I159" s="18"/>
      <c r="N159" s="18"/>
      <c r="P159" s="226"/>
    </row>
    <row r="160" spans="4:14" ht="12.75">
      <c r="D160" s="18"/>
      <c r="I160" s="18"/>
      <c r="N160" s="18"/>
    </row>
    <row r="161" spans="4:14" ht="12.75">
      <c r="D161" s="18"/>
      <c r="I161" s="18"/>
      <c r="N161" s="18"/>
    </row>
    <row r="162" spans="4:14" ht="12.75">
      <c r="D162" s="18"/>
      <c r="I162" s="18"/>
      <c r="N162" s="18"/>
    </row>
  </sheetData>
  <mergeCells count="12">
    <mergeCell ref="A1:P1"/>
    <mergeCell ref="A2:A3"/>
    <mergeCell ref="B2:D2"/>
    <mergeCell ref="E2:E3"/>
    <mergeCell ref="F2:F3"/>
    <mergeCell ref="G2:I2"/>
    <mergeCell ref="J2:J3"/>
    <mergeCell ref="K2:K3"/>
    <mergeCell ref="L2:N2"/>
    <mergeCell ref="O2:O3"/>
    <mergeCell ref="P2:P3"/>
    <mergeCell ref="A152:P153"/>
  </mergeCells>
  <printOptions horizontalCentered="1"/>
  <pageMargins left="0.7874015748031497" right="0.7874015748031497" top="0.984251968503937" bottom="0.984251968503937" header="0.5118110236220472" footer="0.5118110236220472"/>
  <pageSetup fitToHeight="27" horizontalDpi="600" verticalDpi="600" orientation="landscape" paperSize="9" scale="60" r:id="rId1"/>
  <rowBreaks count="4" manualBreakCount="4">
    <brk id="33" max="255" man="1"/>
    <brk id="59" max="255" man="1"/>
    <brk id="93" max="255" man="1"/>
    <brk id="119" max="255" man="1"/>
  </rowBreaks>
</worksheet>
</file>

<file path=xl/worksheets/sheet12.xml><?xml version="1.0" encoding="utf-8"?>
<worksheet xmlns="http://schemas.openxmlformats.org/spreadsheetml/2006/main" xmlns:r="http://schemas.openxmlformats.org/officeDocument/2006/relationships">
  <sheetPr codeName="Hárok14">
    <tabColor indexed="42"/>
    <pageSetUpPr fitToPage="1"/>
  </sheetPr>
  <dimension ref="A1:J45"/>
  <sheetViews>
    <sheetView zoomScaleSheetLayoutView="100" workbookViewId="0" topLeftCell="A11">
      <selection activeCell="J45" sqref="J45"/>
    </sheetView>
  </sheetViews>
  <sheetFormatPr defaultColWidth="9.140625" defaultRowHeight="12.75"/>
  <cols>
    <col min="1" max="1" width="10.00390625" style="2" customWidth="1"/>
    <col min="2" max="7" width="14.28125" style="2" customWidth="1"/>
    <col min="8" max="8" width="9.140625" style="2" customWidth="1"/>
    <col min="9" max="10" width="12.00390625" style="2" bestFit="1" customWidth="1"/>
    <col min="11" max="16384" width="9.140625" style="2" customWidth="1"/>
  </cols>
  <sheetData>
    <row r="1" spans="1:7" ht="75" customHeight="1">
      <c r="A1" s="582" t="s">
        <v>259</v>
      </c>
      <c r="B1" s="582"/>
      <c r="C1" s="582"/>
      <c r="D1" s="582"/>
      <c r="E1" s="582"/>
      <c r="F1" s="582"/>
      <c r="G1" s="582"/>
    </row>
    <row r="2" ht="15.75">
      <c r="A2" s="19" t="s">
        <v>161</v>
      </c>
    </row>
    <row r="3" spans="1:7" ht="15.75">
      <c r="A3" s="68" t="s">
        <v>54</v>
      </c>
      <c r="B3" s="68" t="s">
        <v>224</v>
      </c>
      <c r="C3" s="69" t="s">
        <v>225</v>
      </c>
      <c r="D3" s="68" t="s">
        <v>162</v>
      </c>
      <c r="E3" s="69" t="s">
        <v>163</v>
      </c>
      <c r="F3" s="68" t="s">
        <v>164</v>
      </c>
      <c r="G3" s="70" t="s">
        <v>165</v>
      </c>
    </row>
    <row r="4" spans="1:7" ht="15.75">
      <c r="A4" s="71" t="s">
        <v>167</v>
      </c>
      <c r="B4" s="21">
        <v>40823</v>
      </c>
      <c r="C4" s="20">
        <v>0.7768854549260662</v>
      </c>
      <c r="D4" s="21">
        <v>32993</v>
      </c>
      <c r="E4" s="20">
        <v>0.8050607583817285</v>
      </c>
      <c r="F4" s="21">
        <v>29713</v>
      </c>
      <c r="G4" s="20">
        <v>0.814077098002685</v>
      </c>
    </row>
    <row r="5" spans="1:7" ht="15.75">
      <c r="A5" s="71" t="s">
        <v>168</v>
      </c>
      <c r="B5" s="21">
        <v>10354</v>
      </c>
      <c r="C5" s="20">
        <v>0.19704264753458808</v>
      </c>
      <c r="D5" s="21">
        <v>7117</v>
      </c>
      <c r="E5" s="20">
        <v>0.17366160753501536</v>
      </c>
      <c r="F5" s="21">
        <v>6041</v>
      </c>
      <c r="G5" s="20">
        <v>0.1655113838735308</v>
      </c>
    </row>
    <row r="6" spans="1:7" ht="15.75">
      <c r="A6" s="71" t="s">
        <v>169</v>
      </c>
      <c r="B6" s="21">
        <v>764</v>
      </c>
      <c r="C6" s="20">
        <v>0.014539364759167983</v>
      </c>
      <c r="D6" s="21">
        <v>473</v>
      </c>
      <c r="E6" s="20">
        <v>0.011541652432775365</v>
      </c>
      <c r="F6" s="21">
        <v>386</v>
      </c>
      <c r="G6" s="20">
        <v>0.01057563220910162</v>
      </c>
    </row>
    <row r="7" spans="1:7" ht="15.75">
      <c r="A7" s="71" t="s">
        <v>170</v>
      </c>
      <c r="B7" s="21">
        <v>239</v>
      </c>
      <c r="C7" s="20">
        <v>0.004548309132776372</v>
      </c>
      <c r="D7" s="21">
        <v>132</v>
      </c>
      <c r="E7" s="20">
        <v>0.003220926260309404</v>
      </c>
      <c r="F7" s="21">
        <v>113</v>
      </c>
      <c r="G7" s="20">
        <v>0.0030959752321981426</v>
      </c>
    </row>
    <row r="8" spans="1:7" ht="15.75">
      <c r="A8" s="71" t="s">
        <v>171</v>
      </c>
      <c r="B8" s="21">
        <v>112</v>
      </c>
      <c r="C8" s="20">
        <v>0.002131425200296877</v>
      </c>
      <c r="D8" s="21">
        <v>67</v>
      </c>
      <c r="E8" s="20">
        <v>0.0016348640866721976</v>
      </c>
      <c r="F8" s="21">
        <v>56</v>
      </c>
      <c r="G8" s="20">
        <v>0.001534288610646867</v>
      </c>
    </row>
    <row r="9" spans="1:7" ht="15.75">
      <c r="A9" s="71" t="s">
        <v>172</v>
      </c>
      <c r="B9" s="21">
        <v>39</v>
      </c>
      <c r="C9" s="20">
        <v>0.0007421927036748054</v>
      </c>
      <c r="D9" s="21">
        <v>21</v>
      </c>
      <c r="E9" s="20">
        <v>0.0005124200868674052</v>
      </c>
      <c r="F9" s="21">
        <v>18</v>
      </c>
      <c r="G9" s="20">
        <v>0.0004931641962793501</v>
      </c>
    </row>
    <row r="10" spans="1:7" ht="15.75">
      <c r="A10" s="71" t="s">
        <v>173</v>
      </c>
      <c r="B10" s="21">
        <v>27</v>
      </c>
      <c r="C10" s="20">
        <v>0.0005138257179287115</v>
      </c>
      <c r="D10" s="21">
        <v>22</v>
      </c>
      <c r="E10" s="20">
        <v>0.0005368210433849006</v>
      </c>
      <c r="F10" s="21">
        <v>17</v>
      </c>
      <c r="G10" s="20">
        <v>0.0004657661853749418</v>
      </c>
    </row>
    <row r="11" spans="1:7" ht="15.75">
      <c r="A11" s="71" t="s">
        <v>174</v>
      </c>
      <c r="B11" s="21">
        <v>11</v>
      </c>
      <c r="C11" s="20">
        <v>0.00020933640360058616</v>
      </c>
      <c r="D11" s="21">
        <v>7</v>
      </c>
      <c r="E11" s="20">
        <v>0.0001708066956224684</v>
      </c>
      <c r="F11" s="21">
        <v>6</v>
      </c>
      <c r="G11" s="20">
        <v>0.00016438806542645005</v>
      </c>
    </row>
    <row r="12" spans="1:7" ht="15.75">
      <c r="A12" s="71" t="s">
        <v>175</v>
      </c>
      <c r="B12" s="21">
        <v>1</v>
      </c>
      <c r="C12" s="20">
        <v>1.903058214550783E-05</v>
      </c>
      <c r="D12" s="21">
        <v>1</v>
      </c>
      <c r="E12" s="20">
        <v>2.4400956517495486E-05</v>
      </c>
      <c r="F12" s="21">
        <v>1</v>
      </c>
      <c r="G12" s="20">
        <v>2.739801090440834E-05</v>
      </c>
    </row>
    <row r="13" spans="1:7" ht="15.75">
      <c r="A13" s="71" t="s">
        <v>176</v>
      </c>
      <c r="B13" s="21">
        <v>0</v>
      </c>
      <c r="C13" s="20">
        <v>0</v>
      </c>
      <c r="D13" s="21">
        <v>0</v>
      </c>
      <c r="E13" s="20">
        <v>0</v>
      </c>
      <c r="F13" s="21">
        <v>0</v>
      </c>
      <c r="G13" s="20">
        <v>0</v>
      </c>
    </row>
    <row r="14" spans="1:7" ht="15.75">
      <c r="A14" s="71" t="s">
        <v>204</v>
      </c>
      <c r="B14" s="21">
        <v>177</v>
      </c>
      <c r="C14" s="20">
        <v>0.0033684130397548862</v>
      </c>
      <c r="D14" s="21">
        <v>149</v>
      </c>
      <c r="E14" s="20">
        <v>0.0036357425211068274</v>
      </c>
      <c r="F14" s="21">
        <v>148</v>
      </c>
      <c r="G14" s="20">
        <v>0.004054905613852434</v>
      </c>
    </row>
    <row r="16" ht="15.75">
      <c r="A16" s="19" t="s">
        <v>166</v>
      </c>
    </row>
    <row r="17" spans="1:7" ht="15.75">
      <c r="A17" s="68" t="s">
        <v>54</v>
      </c>
      <c r="B17" s="68" t="s">
        <v>224</v>
      </c>
      <c r="C17" s="69" t="s">
        <v>225</v>
      </c>
      <c r="D17" s="68" t="s">
        <v>162</v>
      </c>
      <c r="E17" s="69" t="s">
        <v>163</v>
      </c>
      <c r="F17" s="68" t="s">
        <v>164</v>
      </c>
      <c r="G17" s="70" t="s">
        <v>165</v>
      </c>
    </row>
    <row r="18" spans="1:7" ht="15.75">
      <c r="A18" s="71" t="s">
        <v>167</v>
      </c>
      <c r="B18" s="21">
        <v>5767</v>
      </c>
      <c r="C18" s="20">
        <v>0.16429263289841034</v>
      </c>
      <c r="D18" s="21">
        <v>4462</v>
      </c>
      <c r="E18" s="20">
        <v>0.1696965087092112</v>
      </c>
      <c r="F18" s="21">
        <v>3165</v>
      </c>
      <c r="G18" s="20">
        <v>0.1403734421430789</v>
      </c>
    </row>
    <row r="19" spans="1:7" ht="15.75">
      <c r="A19" s="71" t="s">
        <v>168</v>
      </c>
      <c r="B19" s="21">
        <v>10585</v>
      </c>
      <c r="C19" s="20">
        <v>0.30154976924391774</v>
      </c>
      <c r="D19" s="21">
        <v>7511</v>
      </c>
      <c r="E19" s="20">
        <v>0.2856545219441698</v>
      </c>
      <c r="F19" s="21">
        <v>6451</v>
      </c>
      <c r="G19" s="20">
        <v>0.28611345190047455</v>
      </c>
    </row>
    <row r="20" spans="1:7" ht="15.75">
      <c r="A20" s="71" t="s">
        <v>169</v>
      </c>
      <c r="B20" s="21">
        <v>7394</v>
      </c>
      <c r="C20" s="20">
        <v>0.21064326818984674</v>
      </c>
      <c r="D20" s="21">
        <v>5505</v>
      </c>
      <c r="E20" s="20">
        <v>0.2093633528561649</v>
      </c>
      <c r="F20" s="21">
        <v>4919</v>
      </c>
      <c r="G20" s="20">
        <v>0.21816649665143922</v>
      </c>
    </row>
    <row r="21" spans="1:7" ht="15.75">
      <c r="A21" s="71" t="s">
        <v>170</v>
      </c>
      <c r="B21" s="21">
        <v>5037</v>
      </c>
      <c r="C21" s="20">
        <v>0.143496097088485</v>
      </c>
      <c r="D21" s="21">
        <v>3908</v>
      </c>
      <c r="E21" s="20">
        <v>0.1486270632083365</v>
      </c>
      <c r="F21" s="21">
        <v>3542</v>
      </c>
      <c r="G21" s="20">
        <v>0.15709407016454519</v>
      </c>
    </row>
    <row r="22" spans="1:10" ht="15.75">
      <c r="A22" s="71" t="s">
        <v>171</v>
      </c>
      <c r="B22" s="21">
        <v>3051</v>
      </c>
      <c r="C22" s="20">
        <v>0.08691812432340038</v>
      </c>
      <c r="D22" s="21">
        <v>2335</v>
      </c>
      <c r="E22" s="20">
        <v>0.08880352932227885</v>
      </c>
      <c r="F22" s="21">
        <v>2111</v>
      </c>
      <c r="G22" s="20">
        <v>0.09362664656051803</v>
      </c>
      <c r="J22" s="227"/>
    </row>
    <row r="23" spans="1:10" ht="15.75">
      <c r="A23" s="71" t="s">
        <v>172</v>
      </c>
      <c r="B23" s="21">
        <v>1903</v>
      </c>
      <c r="C23" s="20">
        <v>0.054213435131901314</v>
      </c>
      <c r="D23" s="21">
        <v>1482</v>
      </c>
      <c r="E23" s="20">
        <v>0.056362668289343575</v>
      </c>
      <c r="F23" s="21">
        <v>1343</v>
      </c>
      <c r="G23" s="20">
        <v>0.0595644653390695</v>
      </c>
      <c r="I23" s="227"/>
      <c r="J23" s="227"/>
    </row>
    <row r="24" spans="1:10" ht="15.75">
      <c r="A24" s="71" t="s">
        <v>173</v>
      </c>
      <c r="B24" s="21">
        <v>868</v>
      </c>
      <c r="C24" s="20">
        <v>0.024727935730157826</v>
      </c>
      <c r="D24" s="21">
        <v>684</v>
      </c>
      <c r="E24" s="20">
        <v>0.026013539210466265</v>
      </c>
      <c r="F24" s="21">
        <v>632</v>
      </c>
      <c r="G24" s="20">
        <v>0.02803033663015035</v>
      </c>
      <c r="I24" s="227"/>
      <c r="J24" s="227"/>
    </row>
    <row r="25" spans="1:10" ht="15.75">
      <c r="A25" s="71" t="s">
        <v>174</v>
      </c>
      <c r="B25" s="21">
        <v>218</v>
      </c>
      <c r="C25" s="20">
        <v>0.006210472337758532</v>
      </c>
      <c r="D25" s="21">
        <v>168</v>
      </c>
      <c r="E25" s="20">
        <v>0.006389290332395223</v>
      </c>
      <c r="F25" s="21">
        <v>149</v>
      </c>
      <c r="G25" s="20">
        <v>0.0066084179713487385</v>
      </c>
      <c r="I25" s="227"/>
      <c r="J25" s="227"/>
    </row>
    <row r="26" spans="1:10" ht="15.75">
      <c r="A26" s="71" t="s">
        <v>175</v>
      </c>
      <c r="B26" s="21">
        <v>23</v>
      </c>
      <c r="C26" s="20">
        <v>0.0006552333200387443</v>
      </c>
      <c r="D26" s="21">
        <v>17</v>
      </c>
      <c r="E26" s="20">
        <v>0.0006465353312542785</v>
      </c>
      <c r="F26" s="21">
        <v>15</v>
      </c>
      <c r="G26" s="20">
        <v>0.0006652769769814166</v>
      </c>
      <c r="I26" s="227"/>
      <c r="J26" s="227"/>
    </row>
    <row r="27" spans="1:7" ht="15.75">
      <c r="A27" s="71" t="s">
        <v>176</v>
      </c>
      <c r="B27" s="21">
        <v>7</v>
      </c>
      <c r="C27" s="20">
        <v>0.00019941883653353085</v>
      </c>
      <c r="D27" s="21">
        <v>5</v>
      </c>
      <c r="E27" s="20">
        <v>0.00019015745036890546</v>
      </c>
      <c r="F27" s="21">
        <v>4</v>
      </c>
      <c r="G27" s="20">
        <v>0.00017740719386171109</v>
      </c>
    </row>
    <row r="28" spans="1:7" ht="15.75">
      <c r="A28" s="71" t="s">
        <v>204</v>
      </c>
      <c r="B28" s="21">
        <v>249</v>
      </c>
      <c r="C28" s="20">
        <v>0.007093612899549883</v>
      </c>
      <c r="D28" s="21">
        <v>217</v>
      </c>
      <c r="E28" s="20">
        <v>0.008252833346010497</v>
      </c>
      <c r="F28" s="21">
        <v>216</v>
      </c>
      <c r="G28" s="20">
        <v>0.0095799884685324</v>
      </c>
    </row>
    <row r="30" ht="15.75">
      <c r="A30" s="19" t="s">
        <v>226</v>
      </c>
    </row>
    <row r="31" spans="1:7" ht="15.75">
      <c r="A31" s="68" t="s">
        <v>54</v>
      </c>
      <c r="B31" s="68" t="s">
        <v>224</v>
      </c>
      <c r="C31" s="69" t="s">
        <v>225</v>
      </c>
      <c r="D31" s="68" t="s">
        <v>162</v>
      </c>
      <c r="E31" s="69" t="s">
        <v>163</v>
      </c>
      <c r="F31" s="68" t="s">
        <v>164</v>
      </c>
      <c r="G31" s="70" t="s">
        <v>165</v>
      </c>
    </row>
    <row r="32" spans="1:7" ht="15.75">
      <c r="A32" s="71" t="s">
        <v>167</v>
      </c>
      <c r="B32" s="21">
        <v>43674</v>
      </c>
      <c r="C32" s="20">
        <v>0.5222288652397465</v>
      </c>
      <c r="D32" s="21">
        <v>36123</v>
      </c>
      <c r="E32" s="20">
        <v>0.5506303065408594</v>
      </c>
      <c r="F32" s="21">
        <v>32614</v>
      </c>
      <c r="G32" s="20">
        <v>0.5558983449521894</v>
      </c>
    </row>
    <row r="33" spans="1:7" ht="15.75">
      <c r="A33" s="71" t="s">
        <v>168</v>
      </c>
      <c r="B33" s="21">
        <v>19995</v>
      </c>
      <c r="C33" s="20">
        <v>0.23908884371636974</v>
      </c>
      <c r="D33" s="21">
        <v>14333</v>
      </c>
      <c r="E33" s="20">
        <v>0.2184808621556941</v>
      </c>
      <c r="F33" s="21">
        <v>12399</v>
      </c>
      <c r="G33" s="20">
        <v>0.21133818541308017</v>
      </c>
    </row>
    <row r="34" spans="1:7" ht="15.75">
      <c r="A34" s="71" t="s">
        <v>169</v>
      </c>
      <c r="B34" s="21">
        <v>8063</v>
      </c>
      <c r="C34" s="20">
        <v>0.09641277053688868</v>
      </c>
      <c r="D34" s="21">
        <v>5949</v>
      </c>
      <c r="E34" s="20">
        <v>0.09068182857491273</v>
      </c>
      <c r="F34" s="21">
        <v>5293</v>
      </c>
      <c r="G34" s="20">
        <v>0.0902180026930747</v>
      </c>
    </row>
    <row r="35" spans="1:7" ht="15.75">
      <c r="A35" s="71" t="s">
        <v>170</v>
      </c>
      <c r="B35" s="21">
        <v>5241</v>
      </c>
      <c r="C35" s="20">
        <v>0.06266889872055482</v>
      </c>
      <c r="D35" s="21">
        <v>4029</v>
      </c>
      <c r="E35" s="20">
        <v>0.06141487431977196</v>
      </c>
      <c r="F35" s="21">
        <v>3649</v>
      </c>
      <c r="G35" s="20">
        <v>0.062196389916310144</v>
      </c>
    </row>
    <row r="36" spans="1:7" ht="15.75">
      <c r="A36" s="71" t="s">
        <v>171</v>
      </c>
      <c r="B36" s="21">
        <v>3145</v>
      </c>
      <c r="C36" s="20">
        <v>0.037606122204950375</v>
      </c>
      <c r="D36" s="21">
        <v>2398</v>
      </c>
      <c r="E36" s="20">
        <v>0.03655320640824353</v>
      </c>
      <c r="F36" s="21">
        <v>2166</v>
      </c>
      <c r="G36" s="20">
        <v>0.03691898617668615</v>
      </c>
    </row>
    <row r="37" spans="1:7" ht="15.75">
      <c r="A37" s="71" t="s">
        <v>172</v>
      </c>
      <c r="B37" s="21">
        <v>1935</v>
      </c>
      <c r="C37" s="20">
        <v>0.02313763003706804</v>
      </c>
      <c r="D37" s="21">
        <v>1503</v>
      </c>
      <c r="E37" s="20">
        <v>0.022910537627852386</v>
      </c>
      <c r="F37" s="21">
        <v>1361</v>
      </c>
      <c r="G37" s="20">
        <v>0.023197940990983313</v>
      </c>
    </row>
    <row r="38" spans="1:7" ht="15.75">
      <c r="A38" s="71" t="s">
        <v>173</v>
      </c>
      <c r="B38" s="21">
        <v>891</v>
      </c>
      <c r="C38" s="20">
        <v>0.010654071505440631</v>
      </c>
      <c r="D38" s="21">
        <v>704</v>
      </c>
      <c r="E38" s="20">
        <v>0.010731216560218283</v>
      </c>
      <c r="F38" s="21">
        <v>648</v>
      </c>
      <c r="G38" s="20">
        <v>0.011045015255075083</v>
      </c>
    </row>
    <row r="39" spans="1:7" ht="15.75">
      <c r="A39" s="71" t="s">
        <v>174</v>
      </c>
      <c r="B39" s="21">
        <v>229</v>
      </c>
      <c r="C39" s="20">
        <v>0.0027382518235083103</v>
      </c>
      <c r="D39" s="21">
        <v>175</v>
      </c>
      <c r="E39" s="20">
        <v>0.0026675609347133517</v>
      </c>
      <c r="F39" s="21">
        <v>155</v>
      </c>
      <c r="G39" s="20">
        <v>0.0026419403773713544</v>
      </c>
    </row>
    <row r="40" spans="1:7" ht="15.75">
      <c r="A40" s="71" t="s">
        <v>175</v>
      </c>
      <c r="B40" s="21">
        <v>24</v>
      </c>
      <c r="C40" s="20">
        <v>0.0002869783570489059</v>
      </c>
      <c r="D40" s="21">
        <v>18</v>
      </c>
      <c r="E40" s="20">
        <v>0.00027437769614194473</v>
      </c>
      <c r="F40" s="21">
        <v>16</v>
      </c>
      <c r="G40" s="20">
        <v>0.0002727164260512366</v>
      </c>
    </row>
    <row r="41" spans="1:7" ht="15.75">
      <c r="A41" s="71" t="s">
        <v>176</v>
      </c>
      <c r="B41" s="21">
        <v>7</v>
      </c>
      <c r="C41" s="20">
        <v>8.370202080593089E-05</v>
      </c>
      <c r="D41" s="21">
        <v>5</v>
      </c>
      <c r="E41" s="20">
        <v>7.621602670609575E-05</v>
      </c>
      <c r="F41" s="21">
        <v>4</v>
      </c>
      <c r="G41" s="20">
        <v>6.817910651280915E-05</v>
      </c>
    </row>
    <row r="42" spans="1:7" ht="15.75">
      <c r="A42" s="71" t="s">
        <v>204</v>
      </c>
      <c r="B42" s="21">
        <v>426</v>
      </c>
      <c r="C42" s="20">
        <v>0.0050938658376180794</v>
      </c>
      <c r="D42" s="21">
        <v>366</v>
      </c>
      <c r="E42" s="20">
        <v>0.00557901315488621</v>
      </c>
      <c r="F42" s="21">
        <v>364</v>
      </c>
      <c r="G42" s="20">
        <v>0.006204298692665633</v>
      </c>
    </row>
    <row r="43" ht="15.75">
      <c r="G43" s="200" t="s">
        <v>266</v>
      </c>
    </row>
    <row r="44" spans="1:7" ht="15.75">
      <c r="A44" s="583" t="s">
        <v>45</v>
      </c>
      <c r="B44" s="583"/>
      <c r="C44" s="583"/>
      <c r="D44" s="583"/>
      <c r="E44" s="583"/>
      <c r="F44" s="583"/>
      <c r="G44" s="583"/>
    </row>
    <row r="45" spans="1:7" ht="15.75">
      <c r="A45" s="583"/>
      <c r="B45" s="583"/>
      <c r="C45" s="583"/>
      <c r="D45" s="583"/>
      <c r="E45" s="583"/>
      <c r="F45" s="583"/>
      <c r="G45" s="583"/>
    </row>
  </sheetData>
  <mergeCells count="2">
    <mergeCell ref="A1:G1"/>
    <mergeCell ref="A44:G4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codeName="Hárok15">
    <tabColor indexed="42"/>
    <pageSetUpPr fitToPage="1"/>
  </sheetPr>
  <dimension ref="A1:K33"/>
  <sheetViews>
    <sheetView zoomScaleSheetLayoutView="100" workbookViewId="0" topLeftCell="A2">
      <selection activeCell="A31" sqref="A31:G31"/>
    </sheetView>
  </sheetViews>
  <sheetFormatPr defaultColWidth="9.140625" defaultRowHeight="12.75"/>
  <cols>
    <col min="1" max="1" width="9.140625" style="2" customWidth="1"/>
    <col min="2" max="2" width="12.8515625" style="2" hidden="1" customWidth="1"/>
    <col min="3" max="3" width="20.00390625" style="2" customWidth="1"/>
    <col min="4" max="5" width="15.57421875" style="2" bestFit="1" customWidth="1"/>
    <col min="6" max="6" width="16.7109375" style="2" bestFit="1" customWidth="1"/>
    <col min="7" max="7" width="17.00390625" style="2" customWidth="1"/>
    <col min="8" max="8" width="13.421875" style="2" bestFit="1" customWidth="1"/>
    <col min="9" max="9" width="9.140625" style="2" customWidth="1"/>
    <col min="10" max="10" width="14.28125" style="2" bestFit="1" customWidth="1"/>
    <col min="11" max="16384" width="9.140625" style="2" customWidth="1"/>
  </cols>
  <sheetData>
    <row r="1" spans="1:11" ht="75" customHeight="1">
      <c r="A1" s="587" t="s">
        <v>260</v>
      </c>
      <c r="B1" s="587"/>
      <c r="C1" s="587"/>
      <c r="D1" s="587"/>
      <c r="E1" s="587"/>
      <c r="F1" s="587"/>
      <c r="G1" s="587"/>
      <c r="H1" s="32"/>
      <c r="I1" s="23"/>
      <c r="J1" s="23"/>
      <c r="K1" s="23"/>
    </row>
    <row r="2" spans="1:11" ht="19.5" customHeight="1">
      <c r="A2" s="25"/>
      <c r="B2" s="25"/>
      <c r="C2" s="25"/>
      <c r="D2" s="25"/>
      <c r="E2" s="25"/>
      <c r="F2" s="25"/>
      <c r="G2" s="25"/>
      <c r="H2" s="23"/>
      <c r="I2" s="23"/>
      <c r="J2" s="23"/>
      <c r="K2" s="23"/>
    </row>
    <row r="3" spans="1:7" ht="19.5" customHeight="1">
      <c r="A3" s="19"/>
      <c r="C3" s="114" t="s">
        <v>161</v>
      </c>
      <c r="D3" s="584" t="s">
        <v>206</v>
      </c>
      <c r="E3" s="584"/>
      <c r="F3" s="586" t="s">
        <v>205</v>
      </c>
      <c r="G3" s="585" t="s">
        <v>261</v>
      </c>
    </row>
    <row r="4" spans="3:7" ht="15.75">
      <c r="C4" s="71" t="s">
        <v>55</v>
      </c>
      <c r="D4" s="72">
        <v>2006</v>
      </c>
      <c r="E4" s="72" t="s">
        <v>67</v>
      </c>
      <c r="F4" s="586"/>
      <c r="G4" s="585"/>
    </row>
    <row r="5" spans="3:7" ht="15.75">
      <c r="C5" s="75" t="s">
        <v>68</v>
      </c>
      <c r="D5" s="73">
        <v>92279</v>
      </c>
      <c r="E5" s="73">
        <v>22966</v>
      </c>
      <c r="F5" s="73">
        <f aca="true" t="shared" si="0" ref="F5:F10">+D5+E5</f>
        <v>115245</v>
      </c>
      <c r="G5" s="74">
        <f aca="true" t="shared" si="1" ref="G5:G10">D5/F5</f>
        <v>0.8007202047811185</v>
      </c>
    </row>
    <row r="6" spans="3:7" ht="15.75">
      <c r="C6" s="75" t="s">
        <v>230</v>
      </c>
      <c r="D6" s="73">
        <v>37739</v>
      </c>
      <c r="E6" s="73">
        <v>14808</v>
      </c>
      <c r="F6" s="73">
        <f t="shared" si="0"/>
        <v>52547</v>
      </c>
      <c r="G6" s="74">
        <f t="shared" si="1"/>
        <v>0.71819513958932</v>
      </c>
    </row>
    <row r="7" spans="3:7" ht="15.75">
      <c r="C7" s="75" t="s">
        <v>227</v>
      </c>
      <c r="D7" s="73">
        <v>48526</v>
      </c>
      <c r="E7" s="73">
        <v>12186</v>
      </c>
      <c r="F7" s="73">
        <f t="shared" si="0"/>
        <v>60712</v>
      </c>
      <c r="G7" s="74">
        <f t="shared" si="1"/>
        <v>0.7992818553169061</v>
      </c>
    </row>
    <row r="8" spans="3:7" ht="15.75">
      <c r="C8" s="75" t="s">
        <v>69</v>
      </c>
      <c r="D8" s="73">
        <v>30773</v>
      </c>
      <c r="E8" s="73">
        <v>10209</v>
      </c>
      <c r="F8" s="73">
        <f t="shared" si="0"/>
        <v>40982</v>
      </c>
      <c r="G8" s="74">
        <f t="shared" si="1"/>
        <v>0.7508906349128885</v>
      </c>
    </row>
    <row r="9" spans="3:7" ht="15.75">
      <c r="C9" s="75" t="s">
        <v>228</v>
      </c>
      <c r="D9" s="73">
        <v>28934</v>
      </c>
      <c r="E9" s="73">
        <v>8913</v>
      </c>
      <c r="F9" s="73">
        <f t="shared" si="0"/>
        <v>37847</v>
      </c>
      <c r="G9" s="74">
        <f t="shared" si="1"/>
        <v>0.7644991677015351</v>
      </c>
    </row>
    <row r="10" spans="3:7" ht="15.75">
      <c r="C10" s="75" t="s">
        <v>231</v>
      </c>
      <c r="D10" s="73">
        <v>27772</v>
      </c>
      <c r="E10" s="73">
        <v>8727</v>
      </c>
      <c r="F10" s="73">
        <f t="shared" si="0"/>
        <v>36499</v>
      </c>
      <c r="G10" s="74">
        <f t="shared" si="1"/>
        <v>0.7608975588372284</v>
      </c>
    </row>
    <row r="11" spans="4:7" ht="15.75">
      <c r="D11" s="24"/>
      <c r="E11" s="24"/>
      <c r="F11" s="24"/>
      <c r="G11" s="26"/>
    </row>
    <row r="12" spans="1:7" ht="16.5" customHeight="1">
      <c r="A12" s="19"/>
      <c r="C12" s="114" t="s">
        <v>166</v>
      </c>
      <c r="D12" s="584" t="s">
        <v>206</v>
      </c>
      <c r="E12" s="584"/>
      <c r="F12" s="586" t="s">
        <v>205</v>
      </c>
      <c r="G12" s="585" t="s">
        <v>261</v>
      </c>
    </row>
    <row r="13" spans="2:7" ht="15.75">
      <c r="B13" s="19"/>
      <c r="C13" s="71" t="s">
        <v>55</v>
      </c>
      <c r="D13" s="72">
        <v>2006</v>
      </c>
      <c r="E13" s="72" t="s">
        <v>67</v>
      </c>
      <c r="F13" s="586"/>
      <c r="G13" s="585"/>
    </row>
    <row r="14" spans="3:7" ht="15.75">
      <c r="C14" s="75" t="s">
        <v>68</v>
      </c>
      <c r="D14" s="73">
        <v>6199</v>
      </c>
      <c r="E14" s="73">
        <v>35846</v>
      </c>
      <c r="F14" s="73">
        <f aca="true" t="shared" si="2" ref="F14:F19">+D14+E14</f>
        <v>42045</v>
      </c>
      <c r="G14" s="74">
        <f aca="true" t="shared" si="3" ref="G14:G19">D14/F14</f>
        <v>0.1474372695921037</v>
      </c>
    </row>
    <row r="15" spans="3:7" ht="15.75">
      <c r="C15" s="75" t="s">
        <v>230</v>
      </c>
      <c r="D15" s="73">
        <v>5142</v>
      </c>
      <c r="E15" s="73">
        <v>29960</v>
      </c>
      <c r="F15" s="73">
        <f t="shared" si="2"/>
        <v>35102</v>
      </c>
      <c r="G15" s="74">
        <f t="shared" si="3"/>
        <v>0.14648737963648795</v>
      </c>
    </row>
    <row r="16" spans="3:7" ht="15.75">
      <c r="C16" s="75" t="s">
        <v>227</v>
      </c>
      <c r="D16" s="73">
        <v>4340</v>
      </c>
      <c r="E16" s="73">
        <v>23890</v>
      </c>
      <c r="F16" s="73">
        <f t="shared" si="2"/>
        <v>28230</v>
      </c>
      <c r="G16" s="74">
        <f>D16/F16</f>
        <v>0.15373715905065533</v>
      </c>
    </row>
    <row r="17" spans="3:7" ht="15.75">
      <c r="C17" s="75" t="s">
        <v>69</v>
      </c>
      <c r="D17" s="73">
        <v>4047</v>
      </c>
      <c r="E17" s="73">
        <v>22247</v>
      </c>
      <c r="F17" s="73">
        <f>+D17+E17</f>
        <v>26294</v>
      </c>
      <c r="G17" s="74">
        <f t="shared" si="3"/>
        <v>0.15391344032859208</v>
      </c>
    </row>
    <row r="18" spans="3:7" ht="15.75">
      <c r="C18" s="75" t="s">
        <v>228</v>
      </c>
      <c r="D18" s="73">
        <v>2920</v>
      </c>
      <c r="E18" s="73">
        <v>20000</v>
      </c>
      <c r="F18" s="73">
        <f t="shared" si="2"/>
        <v>22920</v>
      </c>
      <c r="G18" s="74">
        <f t="shared" si="3"/>
        <v>0.1273996509598604</v>
      </c>
    </row>
    <row r="19" spans="3:7" ht="15.75">
      <c r="C19" s="75" t="s">
        <v>231</v>
      </c>
      <c r="D19" s="73">
        <v>2886</v>
      </c>
      <c r="E19" s="73">
        <v>19661</v>
      </c>
      <c r="F19" s="73">
        <f t="shared" si="2"/>
        <v>22547</v>
      </c>
      <c r="G19" s="74">
        <f t="shared" si="3"/>
        <v>0.12799929037122457</v>
      </c>
    </row>
    <row r="20" spans="4:7" ht="15.75">
      <c r="D20" s="24"/>
      <c r="E20" s="24"/>
      <c r="F20" s="24"/>
      <c r="G20" s="26"/>
    </row>
    <row r="21" spans="1:7" ht="16.5" customHeight="1">
      <c r="A21" s="19"/>
      <c r="C21" s="114" t="s">
        <v>267</v>
      </c>
      <c r="D21" s="584" t="s">
        <v>206</v>
      </c>
      <c r="E21" s="584"/>
      <c r="F21" s="586" t="s">
        <v>205</v>
      </c>
      <c r="G21" s="585" t="s">
        <v>261</v>
      </c>
    </row>
    <row r="22" spans="2:7" ht="15.75">
      <c r="B22" s="19"/>
      <c r="C22" s="71" t="s">
        <v>55</v>
      </c>
      <c r="D22" s="72">
        <v>2006</v>
      </c>
      <c r="E22" s="72" t="s">
        <v>67</v>
      </c>
      <c r="F22" s="586"/>
      <c r="G22" s="585"/>
    </row>
    <row r="23" spans="3:7" ht="15.75">
      <c r="C23" s="75" t="s">
        <v>68</v>
      </c>
      <c r="D23" s="73">
        <v>98478</v>
      </c>
      <c r="E23" s="73">
        <v>58812</v>
      </c>
      <c r="F23" s="73">
        <f aca="true" t="shared" si="4" ref="F23:F28">+D23+E23</f>
        <v>157290</v>
      </c>
      <c r="G23" s="74">
        <f aca="true" t="shared" si="5" ref="G23:G28">D23/F23</f>
        <v>0.6260919320999427</v>
      </c>
    </row>
    <row r="24" spans="3:7" ht="15.75">
      <c r="C24" s="75" t="s">
        <v>230</v>
      </c>
      <c r="D24" s="73">
        <v>40539</v>
      </c>
      <c r="E24" s="73">
        <v>43091</v>
      </c>
      <c r="F24" s="73">
        <f t="shared" si="4"/>
        <v>83630</v>
      </c>
      <c r="G24" s="74">
        <f t="shared" si="5"/>
        <v>0.48474231735023315</v>
      </c>
    </row>
    <row r="25" spans="3:7" ht="15.75">
      <c r="C25" s="75" t="s">
        <v>227</v>
      </c>
      <c r="D25" s="73">
        <v>52866</v>
      </c>
      <c r="E25" s="73">
        <v>36076</v>
      </c>
      <c r="F25" s="73">
        <f t="shared" si="4"/>
        <v>88942</v>
      </c>
      <c r="G25" s="74">
        <f t="shared" si="5"/>
        <v>0.5943873535562502</v>
      </c>
    </row>
    <row r="26" spans="3:7" ht="15.75">
      <c r="C26" s="75" t="s">
        <v>69</v>
      </c>
      <c r="D26" s="73">
        <v>33670</v>
      </c>
      <c r="E26" s="73">
        <v>31933</v>
      </c>
      <c r="F26" s="73">
        <f t="shared" si="4"/>
        <v>65603</v>
      </c>
      <c r="G26" s="74">
        <f t="shared" si="5"/>
        <v>0.5132387238388488</v>
      </c>
    </row>
    <row r="27" spans="3:7" ht="15.75">
      <c r="C27" s="75" t="s">
        <v>228</v>
      </c>
      <c r="D27" s="73">
        <v>31854</v>
      </c>
      <c r="E27" s="73">
        <v>28913</v>
      </c>
      <c r="F27" s="73">
        <f t="shared" si="4"/>
        <v>60767</v>
      </c>
      <c r="G27" s="74">
        <f t="shared" si="5"/>
        <v>0.5241989895831619</v>
      </c>
    </row>
    <row r="28" spans="3:7" ht="15.75">
      <c r="C28" s="75" t="s">
        <v>231</v>
      </c>
      <c r="D28" s="73">
        <v>30428</v>
      </c>
      <c r="E28" s="73">
        <v>28241</v>
      </c>
      <c r="F28" s="73">
        <f t="shared" si="4"/>
        <v>58669</v>
      </c>
      <c r="G28" s="74">
        <f t="shared" si="5"/>
        <v>0.5186384632429392</v>
      </c>
    </row>
    <row r="29" spans="7:8" ht="15.75">
      <c r="G29" s="200" t="s">
        <v>257</v>
      </c>
      <c r="H29" s="16"/>
    </row>
    <row r="31" spans="1:8" ht="32.25" customHeight="1">
      <c r="A31" s="588" t="s">
        <v>262</v>
      </c>
      <c r="B31" s="588"/>
      <c r="C31" s="588"/>
      <c r="D31" s="588"/>
      <c r="E31" s="588"/>
      <c r="F31" s="588"/>
      <c r="G31" s="588"/>
      <c r="H31" s="31"/>
    </row>
    <row r="32" spans="1:8" ht="15.75">
      <c r="A32" s="31"/>
      <c r="B32" s="31"/>
      <c r="C32" s="31"/>
      <c r="D32" s="31"/>
      <c r="E32" s="31"/>
      <c r="F32" s="31"/>
      <c r="G32" s="31"/>
      <c r="H32" s="31"/>
    </row>
    <row r="33" spans="1:8" ht="15.75">
      <c r="A33" s="31"/>
      <c r="B33" s="31"/>
      <c r="C33" s="31"/>
      <c r="D33" s="31"/>
      <c r="E33" s="31"/>
      <c r="F33" s="31"/>
      <c r="G33" s="31"/>
      <c r="H33" s="31"/>
    </row>
  </sheetData>
  <mergeCells count="11">
    <mergeCell ref="A31:G31"/>
    <mergeCell ref="D12:E12"/>
    <mergeCell ref="G12:G13"/>
    <mergeCell ref="F12:F13"/>
    <mergeCell ref="D21:E21"/>
    <mergeCell ref="G21:G22"/>
    <mergeCell ref="F21:F22"/>
    <mergeCell ref="D3:E3"/>
    <mergeCell ref="G3:G4"/>
    <mergeCell ref="F3:F4"/>
    <mergeCell ref="A1:G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sheetPr codeName="Hárok16">
    <tabColor indexed="42"/>
    <pageSetUpPr fitToPage="1"/>
  </sheetPr>
  <dimension ref="A1:N41"/>
  <sheetViews>
    <sheetView zoomScale="85" zoomScaleNormal="85" zoomScaleSheetLayoutView="100" workbookViewId="0" topLeftCell="A1">
      <pane xSplit="1" ySplit="4" topLeftCell="B8" activePane="bottomRight" state="frozen"/>
      <selection pane="topLeft" activeCell="E7" sqref="E7"/>
      <selection pane="topRight" activeCell="E7" sqref="E7"/>
      <selection pane="bottomLeft" activeCell="E7" sqref="E7"/>
      <selection pane="bottomRight" activeCell="A40" sqref="A40"/>
    </sheetView>
  </sheetViews>
  <sheetFormatPr defaultColWidth="9.140625" defaultRowHeight="12.75"/>
  <cols>
    <col min="1" max="1" width="25.7109375" style="0" customWidth="1"/>
    <col min="2" max="14" width="13.57421875" style="0" customWidth="1"/>
  </cols>
  <sheetData>
    <row r="1" spans="1:14" ht="75" customHeight="1">
      <c r="A1" s="576" t="s">
        <v>6</v>
      </c>
      <c r="B1" s="576"/>
      <c r="C1" s="576"/>
      <c r="D1" s="576"/>
      <c r="E1" s="576"/>
      <c r="F1" s="576"/>
      <c r="G1" s="576"/>
      <c r="H1" s="576"/>
      <c r="I1" s="576"/>
      <c r="J1" s="576"/>
      <c r="K1" s="576"/>
      <c r="L1" s="576"/>
      <c r="M1" s="576"/>
      <c r="N1" s="576"/>
    </row>
    <row r="2" spans="1:14" ht="17.25" customHeight="1">
      <c r="A2" s="589" t="s">
        <v>154</v>
      </c>
      <c r="B2" s="590" t="s">
        <v>209</v>
      </c>
      <c r="C2" s="590"/>
      <c r="D2" s="590"/>
      <c r="E2" s="590"/>
      <c r="F2" s="590"/>
      <c r="G2" s="590"/>
      <c r="H2" s="590"/>
      <c r="I2" s="590"/>
      <c r="J2" s="590"/>
      <c r="K2" s="590"/>
      <c r="L2" s="590"/>
      <c r="M2" s="590"/>
      <c r="N2" s="590"/>
    </row>
    <row r="3" spans="1:14" ht="17.25" customHeight="1">
      <c r="A3" s="589"/>
      <c r="B3" s="586" t="s">
        <v>77</v>
      </c>
      <c r="C3" s="584" t="s">
        <v>211</v>
      </c>
      <c r="D3" s="584"/>
      <c r="E3" s="584"/>
      <c r="F3" s="584"/>
      <c r="G3" s="584" t="s">
        <v>210</v>
      </c>
      <c r="H3" s="584"/>
      <c r="I3" s="584"/>
      <c r="J3" s="584"/>
      <c r="K3" s="584" t="s">
        <v>208</v>
      </c>
      <c r="L3" s="584"/>
      <c r="M3" s="584"/>
      <c r="N3" s="584"/>
    </row>
    <row r="4" spans="1:14" ht="17.25" customHeight="1">
      <c r="A4" s="589"/>
      <c r="B4" s="586"/>
      <c r="C4" s="68" t="s">
        <v>77</v>
      </c>
      <c r="D4" s="76" t="s">
        <v>207</v>
      </c>
      <c r="E4" s="68" t="s">
        <v>13</v>
      </c>
      <c r="F4" s="68" t="s">
        <v>67</v>
      </c>
      <c r="G4" s="68" t="s">
        <v>77</v>
      </c>
      <c r="H4" s="76" t="s">
        <v>207</v>
      </c>
      <c r="I4" s="68" t="s">
        <v>13</v>
      </c>
      <c r="J4" s="68" t="s">
        <v>67</v>
      </c>
      <c r="K4" s="68" t="s">
        <v>77</v>
      </c>
      <c r="L4" s="76" t="s">
        <v>207</v>
      </c>
      <c r="M4" s="68" t="s">
        <v>13</v>
      </c>
      <c r="N4" s="68" t="s">
        <v>67</v>
      </c>
    </row>
    <row r="5" spans="1:14" ht="15.75">
      <c r="A5" s="38" t="s">
        <v>60</v>
      </c>
      <c r="B5" s="29">
        <v>4903</v>
      </c>
      <c r="C5" s="29">
        <v>4100</v>
      </c>
      <c r="D5" s="27">
        <f aca="true" t="shared" si="0" ref="D5:D40">C5/$B5</f>
        <v>0.8362227207831939</v>
      </c>
      <c r="E5" s="35">
        <v>3161</v>
      </c>
      <c r="F5" s="35">
        <v>939</v>
      </c>
      <c r="G5" s="29">
        <v>736</v>
      </c>
      <c r="H5" s="27">
        <f aca="true" t="shared" si="1" ref="H5:H40">G5/$B5</f>
        <v>0.15011217621864165</v>
      </c>
      <c r="I5" s="35">
        <v>484</v>
      </c>
      <c r="J5" s="35">
        <v>252</v>
      </c>
      <c r="K5" s="29">
        <v>67</v>
      </c>
      <c r="L5" s="27">
        <f aca="true" t="shared" si="2" ref="L5:L40">K5/$B5</f>
        <v>0.01366510299816439</v>
      </c>
      <c r="M5" s="35">
        <v>42</v>
      </c>
      <c r="N5" s="35">
        <v>25</v>
      </c>
    </row>
    <row r="6" spans="1:14" ht="15.75">
      <c r="A6" s="38" t="s">
        <v>78</v>
      </c>
      <c r="B6" s="29">
        <v>1995</v>
      </c>
      <c r="C6" s="29">
        <v>1485</v>
      </c>
      <c r="D6" s="27">
        <f t="shared" si="0"/>
        <v>0.7443609022556391</v>
      </c>
      <c r="E6" s="35">
        <v>1334</v>
      </c>
      <c r="F6" s="35">
        <v>151</v>
      </c>
      <c r="G6" s="29">
        <v>467</v>
      </c>
      <c r="H6" s="27">
        <f t="shared" si="1"/>
        <v>0.23408521303258145</v>
      </c>
      <c r="I6" s="35">
        <v>374</v>
      </c>
      <c r="J6" s="35">
        <v>93</v>
      </c>
      <c r="K6" s="29">
        <v>43</v>
      </c>
      <c r="L6" s="27">
        <f t="shared" si="2"/>
        <v>0.02155388471177945</v>
      </c>
      <c r="M6" s="35">
        <v>32</v>
      </c>
      <c r="N6" s="35">
        <v>11</v>
      </c>
    </row>
    <row r="7" spans="1:14" ht="15.75">
      <c r="A7" s="38" t="s">
        <v>80</v>
      </c>
      <c r="B7" s="29">
        <v>2078</v>
      </c>
      <c r="C7" s="29">
        <v>985</v>
      </c>
      <c r="D7" s="27">
        <f t="shared" si="0"/>
        <v>0.47401347449470643</v>
      </c>
      <c r="E7" s="35">
        <v>879</v>
      </c>
      <c r="F7" s="35">
        <v>106</v>
      </c>
      <c r="G7" s="29">
        <v>932</v>
      </c>
      <c r="H7" s="27">
        <f t="shared" si="1"/>
        <v>0.44850818094321465</v>
      </c>
      <c r="I7" s="35">
        <v>808</v>
      </c>
      <c r="J7" s="35">
        <v>124</v>
      </c>
      <c r="K7" s="29">
        <v>161</v>
      </c>
      <c r="L7" s="27">
        <f t="shared" si="2"/>
        <v>0.07747834456207892</v>
      </c>
      <c r="M7" s="35">
        <v>130</v>
      </c>
      <c r="N7" s="35">
        <v>31</v>
      </c>
    </row>
    <row r="8" spans="1:14" ht="15.75">
      <c r="A8" s="38" t="s">
        <v>87</v>
      </c>
      <c r="B8" s="29">
        <v>1473</v>
      </c>
      <c r="C8" s="29">
        <v>747</v>
      </c>
      <c r="D8" s="27">
        <f t="shared" si="0"/>
        <v>0.5071283095723014</v>
      </c>
      <c r="E8" s="35">
        <v>584</v>
      </c>
      <c r="F8" s="35">
        <v>163</v>
      </c>
      <c r="G8" s="29">
        <v>636</v>
      </c>
      <c r="H8" s="27">
        <f t="shared" si="1"/>
        <v>0.4317718940936864</v>
      </c>
      <c r="I8" s="35">
        <v>464</v>
      </c>
      <c r="J8" s="35">
        <v>172</v>
      </c>
      <c r="K8" s="29">
        <v>90</v>
      </c>
      <c r="L8" s="27">
        <f t="shared" si="2"/>
        <v>0.06109979633401222</v>
      </c>
      <c r="M8" s="35">
        <v>66</v>
      </c>
      <c r="N8" s="35">
        <v>24</v>
      </c>
    </row>
    <row r="9" spans="1:14" ht="15.75">
      <c r="A9" s="38" t="s">
        <v>90</v>
      </c>
      <c r="B9" s="29">
        <v>283</v>
      </c>
      <c r="C9" s="29">
        <v>149</v>
      </c>
      <c r="D9" s="27">
        <f t="shared" si="0"/>
        <v>0.5265017667844523</v>
      </c>
      <c r="E9" s="35">
        <v>142</v>
      </c>
      <c r="F9" s="35">
        <v>7</v>
      </c>
      <c r="G9" s="29">
        <v>127</v>
      </c>
      <c r="H9" s="27">
        <f t="shared" si="1"/>
        <v>0.44876325088339225</v>
      </c>
      <c r="I9" s="35">
        <v>106</v>
      </c>
      <c r="J9" s="35">
        <v>21</v>
      </c>
      <c r="K9" s="29">
        <v>7</v>
      </c>
      <c r="L9" s="27">
        <f t="shared" si="2"/>
        <v>0.024734982332155476</v>
      </c>
      <c r="M9" s="35">
        <v>5</v>
      </c>
      <c r="N9" s="35">
        <v>2</v>
      </c>
    </row>
    <row r="10" spans="1:14" ht="15.75">
      <c r="A10" s="38" t="s">
        <v>91</v>
      </c>
      <c r="B10" s="29">
        <v>2113</v>
      </c>
      <c r="C10" s="29">
        <v>1085</v>
      </c>
      <c r="D10" s="27">
        <f t="shared" si="0"/>
        <v>0.5134879318504496</v>
      </c>
      <c r="E10" s="35">
        <v>1003</v>
      </c>
      <c r="F10" s="35">
        <v>82</v>
      </c>
      <c r="G10" s="29">
        <v>825</v>
      </c>
      <c r="H10" s="27">
        <f t="shared" si="1"/>
        <v>0.3904401325130147</v>
      </c>
      <c r="I10" s="35">
        <v>720</v>
      </c>
      <c r="J10" s="35">
        <v>105</v>
      </c>
      <c r="K10" s="29">
        <v>203</v>
      </c>
      <c r="L10" s="27">
        <f t="shared" si="2"/>
        <v>0.09607193563653574</v>
      </c>
      <c r="M10" s="35">
        <v>171</v>
      </c>
      <c r="N10" s="35">
        <v>32</v>
      </c>
    </row>
    <row r="11" spans="1:14" ht="15.75">
      <c r="A11" s="38" t="s">
        <v>94</v>
      </c>
      <c r="B11" s="29">
        <v>2348</v>
      </c>
      <c r="C11" s="29">
        <v>1423</v>
      </c>
      <c r="D11" s="27">
        <f t="shared" si="0"/>
        <v>0.6060477001703578</v>
      </c>
      <c r="E11" s="35">
        <v>1151</v>
      </c>
      <c r="F11" s="35">
        <v>272</v>
      </c>
      <c r="G11" s="29">
        <v>769</v>
      </c>
      <c r="H11" s="27">
        <f t="shared" si="1"/>
        <v>0.32751277683134583</v>
      </c>
      <c r="I11" s="35">
        <v>542</v>
      </c>
      <c r="J11" s="35">
        <v>227</v>
      </c>
      <c r="K11" s="29">
        <v>156</v>
      </c>
      <c r="L11" s="27">
        <f t="shared" si="2"/>
        <v>0.06643952299829642</v>
      </c>
      <c r="M11" s="35">
        <v>113</v>
      </c>
      <c r="N11" s="35">
        <v>43</v>
      </c>
    </row>
    <row r="12" spans="1:14" ht="15.75">
      <c r="A12" s="38" t="s">
        <v>98</v>
      </c>
      <c r="B12" s="29">
        <v>1108</v>
      </c>
      <c r="C12" s="29">
        <v>642</v>
      </c>
      <c r="D12" s="27">
        <f t="shared" si="0"/>
        <v>0.5794223826714802</v>
      </c>
      <c r="E12" s="35">
        <v>590</v>
      </c>
      <c r="F12" s="35">
        <v>52</v>
      </c>
      <c r="G12" s="29">
        <v>412</v>
      </c>
      <c r="H12" s="27">
        <f t="shared" si="1"/>
        <v>0.37184115523465705</v>
      </c>
      <c r="I12" s="35">
        <v>355</v>
      </c>
      <c r="J12" s="35">
        <v>57</v>
      </c>
      <c r="K12" s="29">
        <v>54</v>
      </c>
      <c r="L12" s="27">
        <f t="shared" si="2"/>
        <v>0.048736462093862815</v>
      </c>
      <c r="M12" s="35">
        <v>41</v>
      </c>
      <c r="N12" s="35">
        <v>13</v>
      </c>
    </row>
    <row r="13" spans="1:14" ht="15.75">
      <c r="A13" s="38" t="s">
        <v>101</v>
      </c>
      <c r="B13" s="29">
        <v>4554</v>
      </c>
      <c r="C13" s="29">
        <v>2078</v>
      </c>
      <c r="D13" s="27">
        <f t="shared" si="0"/>
        <v>0.4563021519543259</v>
      </c>
      <c r="E13" s="35">
        <v>1859</v>
      </c>
      <c r="F13" s="35">
        <v>219</v>
      </c>
      <c r="G13" s="29">
        <v>2149</v>
      </c>
      <c r="H13" s="27">
        <f t="shared" si="1"/>
        <v>0.4718928414580589</v>
      </c>
      <c r="I13" s="35">
        <v>1835</v>
      </c>
      <c r="J13" s="35">
        <v>314</v>
      </c>
      <c r="K13" s="29">
        <v>327</v>
      </c>
      <c r="L13" s="27">
        <f t="shared" si="2"/>
        <v>0.07180500658761528</v>
      </c>
      <c r="M13" s="35">
        <v>263</v>
      </c>
      <c r="N13" s="35">
        <v>64</v>
      </c>
    </row>
    <row r="14" spans="1:14" ht="15.75">
      <c r="A14" s="38" t="s">
        <v>106</v>
      </c>
      <c r="B14" s="29">
        <v>3648</v>
      </c>
      <c r="C14" s="29">
        <v>1179</v>
      </c>
      <c r="D14" s="27">
        <f t="shared" si="0"/>
        <v>0.32319078947368424</v>
      </c>
      <c r="E14" s="35">
        <v>1037</v>
      </c>
      <c r="F14" s="35">
        <v>142</v>
      </c>
      <c r="G14" s="29">
        <v>2042</v>
      </c>
      <c r="H14" s="27">
        <f t="shared" si="1"/>
        <v>0.5597587719298246</v>
      </c>
      <c r="I14" s="35">
        <v>1755</v>
      </c>
      <c r="J14" s="35">
        <v>287</v>
      </c>
      <c r="K14" s="29">
        <v>427</v>
      </c>
      <c r="L14" s="27">
        <f t="shared" si="2"/>
        <v>0.11705043859649122</v>
      </c>
      <c r="M14" s="35">
        <v>340</v>
      </c>
      <c r="N14" s="35">
        <v>87</v>
      </c>
    </row>
    <row r="15" spans="1:14" ht="15.75">
      <c r="A15" s="38" t="s">
        <v>111</v>
      </c>
      <c r="B15" s="29">
        <v>2564</v>
      </c>
      <c r="C15" s="29">
        <v>972</v>
      </c>
      <c r="D15" s="27">
        <f t="shared" si="0"/>
        <v>0.3790951638065523</v>
      </c>
      <c r="E15" s="35">
        <v>836</v>
      </c>
      <c r="F15" s="35">
        <v>136</v>
      </c>
      <c r="G15" s="29">
        <v>1307</v>
      </c>
      <c r="H15" s="27">
        <f t="shared" si="1"/>
        <v>0.5097503900156006</v>
      </c>
      <c r="I15" s="35">
        <v>1072</v>
      </c>
      <c r="J15" s="35">
        <v>235</v>
      </c>
      <c r="K15" s="29">
        <v>285</v>
      </c>
      <c r="L15" s="27">
        <f t="shared" si="2"/>
        <v>0.11115444617784712</v>
      </c>
      <c r="M15" s="35">
        <v>241</v>
      </c>
      <c r="N15" s="35">
        <v>44</v>
      </c>
    </row>
    <row r="16" spans="1:14" ht="15.75">
      <c r="A16" s="38" t="s">
        <v>115</v>
      </c>
      <c r="B16" s="29">
        <v>1252</v>
      </c>
      <c r="C16" s="29">
        <v>320</v>
      </c>
      <c r="D16" s="27">
        <f t="shared" si="0"/>
        <v>0.25559105431309903</v>
      </c>
      <c r="E16" s="35">
        <v>274</v>
      </c>
      <c r="F16" s="35">
        <v>46</v>
      </c>
      <c r="G16" s="29">
        <v>781</v>
      </c>
      <c r="H16" s="27">
        <f t="shared" si="1"/>
        <v>0.6238019169329073</v>
      </c>
      <c r="I16" s="35">
        <v>670</v>
      </c>
      <c r="J16" s="35">
        <v>111</v>
      </c>
      <c r="K16" s="29">
        <v>151</v>
      </c>
      <c r="L16" s="27">
        <f t="shared" si="2"/>
        <v>0.12060702875399361</v>
      </c>
      <c r="M16" s="35">
        <v>127</v>
      </c>
      <c r="N16" s="35">
        <v>24</v>
      </c>
    </row>
    <row r="17" spans="1:14" ht="15.75">
      <c r="A17" s="38" t="s">
        <v>120</v>
      </c>
      <c r="B17" s="29">
        <v>3035</v>
      </c>
      <c r="C17" s="29">
        <v>2004</v>
      </c>
      <c r="D17" s="27">
        <f t="shared" si="0"/>
        <v>0.6602965403624382</v>
      </c>
      <c r="E17" s="35">
        <v>1806</v>
      </c>
      <c r="F17" s="35">
        <v>198</v>
      </c>
      <c r="G17" s="29">
        <v>1021</v>
      </c>
      <c r="H17" s="27">
        <f t="shared" si="1"/>
        <v>0.33640856672158154</v>
      </c>
      <c r="I17" s="35">
        <v>888</v>
      </c>
      <c r="J17" s="35">
        <v>133</v>
      </c>
      <c r="K17" s="29">
        <v>10</v>
      </c>
      <c r="L17" s="27">
        <f t="shared" si="2"/>
        <v>0.0032948929159802307</v>
      </c>
      <c r="M17" s="35">
        <v>6</v>
      </c>
      <c r="N17" s="35">
        <v>4</v>
      </c>
    </row>
    <row r="18" spans="1:14" ht="15.75">
      <c r="A18" s="38" t="s">
        <v>127</v>
      </c>
      <c r="B18" s="29">
        <v>1851</v>
      </c>
      <c r="C18" s="29">
        <v>575</v>
      </c>
      <c r="D18" s="27">
        <f t="shared" si="0"/>
        <v>0.31064289573203674</v>
      </c>
      <c r="E18" s="35">
        <v>538</v>
      </c>
      <c r="F18" s="35">
        <v>37</v>
      </c>
      <c r="G18" s="29">
        <v>1069</v>
      </c>
      <c r="H18" s="27">
        <f t="shared" si="1"/>
        <v>0.57752566180443</v>
      </c>
      <c r="I18" s="35">
        <v>990</v>
      </c>
      <c r="J18" s="35">
        <v>79</v>
      </c>
      <c r="K18" s="29">
        <v>207</v>
      </c>
      <c r="L18" s="27">
        <f t="shared" si="2"/>
        <v>0.11183144246353323</v>
      </c>
      <c r="M18" s="35">
        <v>191</v>
      </c>
      <c r="N18" s="35">
        <v>16</v>
      </c>
    </row>
    <row r="19" spans="1:14" ht="15.75">
      <c r="A19" s="38" t="s">
        <v>133</v>
      </c>
      <c r="B19" s="29">
        <v>990</v>
      </c>
      <c r="C19" s="29">
        <v>286</v>
      </c>
      <c r="D19" s="27">
        <f t="shared" si="0"/>
        <v>0.28888888888888886</v>
      </c>
      <c r="E19" s="35">
        <v>242</v>
      </c>
      <c r="F19" s="35">
        <v>44</v>
      </c>
      <c r="G19" s="29">
        <v>566</v>
      </c>
      <c r="H19" s="27">
        <f t="shared" si="1"/>
        <v>0.5717171717171717</v>
      </c>
      <c r="I19" s="35">
        <v>471</v>
      </c>
      <c r="J19" s="35">
        <v>95</v>
      </c>
      <c r="K19" s="29">
        <v>128</v>
      </c>
      <c r="L19" s="27">
        <f t="shared" si="2"/>
        <v>0.1292929292929293</v>
      </c>
      <c r="M19" s="35">
        <v>94</v>
      </c>
      <c r="N19" s="35">
        <v>34</v>
      </c>
    </row>
    <row r="20" spans="1:14" ht="15.75">
      <c r="A20" s="38" t="s">
        <v>137</v>
      </c>
      <c r="B20" s="29">
        <v>188</v>
      </c>
      <c r="C20" s="29">
        <v>87</v>
      </c>
      <c r="D20" s="27">
        <f t="shared" si="0"/>
        <v>0.4627659574468085</v>
      </c>
      <c r="E20" s="35">
        <v>62</v>
      </c>
      <c r="F20" s="35">
        <v>25</v>
      </c>
      <c r="G20" s="29">
        <v>101</v>
      </c>
      <c r="H20" s="27">
        <f t="shared" si="1"/>
        <v>0.5372340425531915</v>
      </c>
      <c r="I20" s="35">
        <v>83</v>
      </c>
      <c r="J20" s="35">
        <v>18</v>
      </c>
      <c r="K20" s="29">
        <v>0</v>
      </c>
      <c r="L20" s="27">
        <f t="shared" si="2"/>
        <v>0</v>
      </c>
      <c r="M20" s="35">
        <v>0</v>
      </c>
      <c r="N20" s="35">
        <v>0</v>
      </c>
    </row>
    <row r="21" spans="1:14" ht="15.75">
      <c r="A21" s="38" t="s">
        <v>141</v>
      </c>
      <c r="B21" s="29">
        <v>87</v>
      </c>
      <c r="C21" s="29">
        <v>23</v>
      </c>
      <c r="D21" s="27">
        <f t="shared" si="0"/>
        <v>0.26436781609195403</v>
      </c>
      <c r="E21" s="35">
        <v>12</v>
      </c>
      <c r="F21" s="35">
        <v>11</v>
      </c>
      <c r="G21" s="29">
        <v>63</v>
      </c>
      <c r="H21" s="27">
        <f t="shared" si="1"/>
        <v>0.7241379310344828</v>
      </c>
      <c r="I21" s="35">
        <v>41</v>
      </c>
      <c r="J21" s="35">
        <v>22</v>
      </c>
      <c r="K21" s="29">
        <v>1</v>
      </c>
      <c r="L21" s="27">
        <f t="shared" si="2"/>
        <v>0.011494252873563218</v>
      </c>
      <c r="M21" s="35">
        <v>0</v>
      </c>
      <c r="N21" s="35">
        <v>1</v>
      </c>
    </row>
    <row r="22" spans="1:14" ht="15.75">
      <c r="A22" s="38" t="s">
        <v>142</v>
      </c>
      <c r="B22" s="29">
        <v>124</v>
      </c>
      <c r="C22" s="29">
        <v>33</v>
      </c>
      <c r="D22" s="27">
        <f t="shared" si="0"/>
        <v>0.2661290322580645</v>
      </c>
      <c r="E22" s="35">
        <v>22</v>
      </c>
      <c r="F22" s="35">
        <v>11</v>
      </c>
      <c r="G22" s="29">
        <v>86</v>
      </c>
      <c r="H22" s="27">
        <f t="shared" si="1"/>
        <v>0.6935483870967742</v>
      </c>
      <c r="I22" s="35">
        <v>56</v>
      </c>
      <c r="J22" s="35">
        <v>30</v>
      </c>
      <c r="K22" s="29">
        <v>5</v>
      </c>
      <c r="L22" s="27">
        <f t="shared" si="2"/>
        <v>0.04032258064516129</v>
      </c>
      <c r="M22" s="35">
        <v>1</v>
      </c>
      <c r="N22" s="35">
        <v>4</v>
      </c>
    </row>
    <row r="23" spans="1:14" ht="15.75">
      <c r="A23" s="38" t="s">
        <v>146</v>
      </c>
      <c r="B23" s="29">
        <v>1304</v>
      </c>
      <c r="C23" s="29">
        <v>461</v>
      </c>
      <c r="D23" s="27">
        <f t="shared" si="0"/>
        <v>0.3535276073619632</v>
      </c>
      <c r="E23" s="35">
        <v>392</v>
      </c>
      <c r="F23" s="35">
        <v>69</v>
      </c>
      <c r="G23" s="29">
        <v>708</v>
      </c>
      <c r="H23" s="27">
        <f t="shared" si="1"/>
        <v>0.5429447852760736</v>
      </c>
      <c r="I23" s="35">
        <v>575</v>
      </c>
      <c r="J23" s="35">
        <v>133</v>
      </c>
      <c r="K23" s="29">
        <v>135</v>
      </c>
      <c r="L23" s="27">
        <f t="shared" si="2"/>
        <v>0.10352760736196319</v>
      </c>
      <c r="M23" s="35">
        <v>100</v>
      </c>
      <c r="N23" s="35">
        <v>35</v>
      </c>
    </row>
    <row r="24" spans="1:14" ht="15.75">
      <c r="A24" s="38" t="s">
        <v>147</v>
      </c>
      <c r="B24" s="29">
        <v>360</v>
      </c>
      <c r="C24" s="29">
        <v>156</v>
      </c>
      <c r="D24" s="27">
        <f t="shared" si="0"/>
        <v>0.43333333333333335</v>
      </c>
      <c r="E24" s="35">
        <v>150</v>
      </c>
      <c r="F24" s="35">
        <v>6</v>
      </c>
      <c r="G24" s="29">
        <v>189</v>
      </c>
      <c r="H24" s="27">
        <f t="shared" si="1"/>
        <v>0.525</v>
      </c>
      <c r="I24" s="35">
        <v>181</v>
      </c>
      <c r="J24" s="35">
        <v>8</v>
      </c>
      <c r="K24" s="29">
        <v>15</v>
      </c>
      <c r="L24" s="27">
        <f t="shared" si="2"/>
        <v>0.041666666666666664</v>
      </c>
      <c r="M24" s="35">
        <v>15</v>
      </c>
      <c r="N24" s="35">
        <v>0</v>
      </c>
    </row>
    <row r="25" spans="1:14" ht="15.75">
      <c r="A25" s="39" t="s">
        <v>188</v>
      </c>
      <c r="B25" s="40">
        <f>SUM(B5:B24)</f>
        <v>36258</v>
      </c>
      <c r="C25" s="40">
        <f>SUM(C5:C24)</f>
        <v>18790</v>
      </c>
      <c r="D25" s="81">
        <f t="shared" si="0"/>
        <v>0.5182304594848034</v>
      </c>
      <c r="E25" s="40">
        <f>SUM(E5:E24)</f>
        <v>16074</v>
      </c>
      <c r="F25" s="40">
        <f>SUM(F5:F24)</f>
        <v>2716</v>
      </c>
      <c r="G25" s="40">
        <f>SUM(G5:G24)</f>
        <v>14986</v>
      </c>
      <c r="H25" s="81">
        <f t="shared" si="1"/>
        <v>0.41331568205637376</v>
      </c>
      <c r="I25" s="40">
        <f>SUM(I5:I24)</f>
        <v>12470</v>
      </c>
      <c r="J25" s="40">
        <f>SUM(J5:J24)</f>
        <v>2516</v>
      </c>
      <c r="K25" s="40">
        <f>SUM(K5:K24)</f>
        <v>2472</v>
      </c>
      <c r="L25" s="81">
        <f t="shared" si="2"/>
        <v>0.06817805725632964</v>
      </c>
      <c r="M25" s="40">
        <f>SUM(M5:M24)</f>
        <v>1978</v>
      </c>
      <c r="N25" s="40">
        <f>SUM(N5:N24)</f>
        <v>494</v>
      </c>
    </row>
    <row r="26" spans="1:14" ht="15.75">
      <c r="A26" s="38" t="s">
        <v>149</v>
      </c>
      <c r="B26" s="29">
        <v>230</v>
      </c>
      <c r="C26" s="29">
        <v>133</v>
      </c>
      <c r="D26" s="27">
        <f t="shared" si="0"/>
        <v>0.5782608695652174</v>
      </c>
      <c r="E26" s="35">
        <v>103</v>
      </c>
      <c r="F26" s="35">
        <v>30</v>
      </c>
      <c r="G26" s="29">
        <v>86</v>
      </c>
      <c r="H26" s="27">
        <f t="shared" si="1"/>
        <v>0.3739130434782609</v>
      </c>
      <c r="I26" s="35">
        <v>56</v>
      </c>
      <c r="J26" s="35">
        <v>30</v>
      </c>
      <c r="K26" s="29">
        <v>11</v>
      </c>
      <c r="L26" s="27">
        <f t="shared" si="2"/>
        <v>0.04782608695652174</v>
      </c>
      <c r="M26" s="35">
        <v>5</v>
      </c>
      <c r="N26" s="35">
        <v>6</v>
      </c>
    </row>
    <row r="27" spans="1:14" ht="15.75">
      <c r="A27" s="38" t="s">
        <v>150</v>
      </c>
      <c r="B27" s="29">
        <v>0</v>
      </c>
      <c r="C27" s="29">
        <v>0</v>
      </c>
      <c r="D27" s="27">
        <v>0</v>
      </c>
      <c r="E27" s="35">
        <v>0</v>
      </c>
      <c r="F27" s="35">
        <v>0</v>
      </c>
      <c r="G27" s="29">
        <v>0</v>
      </c>
      <c r="H27" s="27">
        <v>0</v>
      </c>
      <c r="I27" s="35">
        <v>0</v>
      </c>
      <c r="J27" s="35">
        <v>0</v>
      </c>
      <c r="K27" s="29">
        <v>0</v>
      </c>
      <c r="L27" s="27">
        <v>0</v>
      </c>
      <c r="M27" s="35">
        <v>0</v>
      </c>
      <c r="N27" s="35">
        <v>0</v>
      </c>
    </row>
    <row r="28" spans="1:14" ht="15.75">
      <c r="A28" s="38" t="s">
        <v>151</v>
      </c>
      <c r="B28" s="29">
        <v>115</v>
      </c>
      <c r="C28" s="29">
        <v>47</v>
      </c>
      <c r="D28" s="27">
        <f t="shared" si="0"/>
        <v>0.40869565217391307</v>
      </c>
      <c r="E28" s="35">
        <v>34</v>
      </c>
      <c r="F28" s="35">
        <v>13</v>
      </c>
      <c r="G28" s="29">
        <v>61</v>
      </c>
      <c r="H28" s="27">
        <f t="shared" si="1"/>
        <v>0.5304347826086957</v>
      </c>
      <c r="I28" s="35">
        <v>44</v>
      </c>
      <c r="J28" s="35">
        <v>17</v>
      </c>
      <c r="K28" s="29">
        <v>7</v>
      </c>
      <c r="L28" s="27">
        <f t="shared" si="2"/>
        <v>0.06086956521739131</v>
      </c>
      <c r="M28" s="35">
        <v>5</v>
      </c>
      <c r="N28" s="35">
        <v>2</v>
      </c>
    </row>
    <row r="29" spans="1:14" ht="15.75">
      <c r="A29" s="38" t="s">
        <v>152</v>
      </c>
      <c r="B29" s="29">
        <v>267</v>
      </c>
      <c r="C29" s="29">
        <v>232</v>
      </c>
      <c r="D29" s="27">
        <f t="shared" si="0"/>
        <v>0.8689138576779026</v>
      </c>
      <c r="E29" s="35">
        <v>202</v>
      </c>
      <c r="F29" s="35">
        <v>30</v>
      </c>
      <c r="G29" s="29">
        <v>32</v>
      </c>
      <c r="H29" s="27">
        <f t="shared" si="1"/>
        <v>0.1198501872659176</v>
      </c>
      <c r="I29" s="35">
        <v>22</v>
      </c>
      <c r="J29" s="35">
        <v>10</v>
      </c>
      <c r="K29" s="29">
        <v>3</v>
      </c>
      <c r="L29" s="27">
        <f t="shared" si="2"/>
        <v>0.011235955056179775</v>
      </c>
      <c r="M29" s="35">
        <v>3</v>
      </c>
      <c r="N29" s="35">
        <v>0</v>
      </c>
    </row>
    <row r="30" spans="1:14" ht="15.75">
      <c r="A30" s="38" t="s">
        <v>194</v>
      </c>
      <c r="B30" s="29">
        <v>116</v>
      </c>
      <c r="C30" s="29">
        <v>81</v>
      </c>
      <c r="D30" s="27">
        <f t="shared" si="0"/>
        <v>0.6982758620689655</v>
      </c>
      <c r="E30" s="35">
        <v>56</v>
      </c>
      <c r="F30" s="35">
        <v>25</v>
      </c>
      <c r="G30" s="29">
        <v>32</v>
      </c>
      <c r="H30" s="27">
        <f t="shared" si="1"/>
        <v>0.27586206896551724</v>
      </c>
      <c r="I30" s="35">
        <v>18</v>
      </c>
      <c r="J30" s="35">
        <v>14</v>
      </c>
      <c r="K30" s="29">
        <v>3</v>
      </c>
      <c r="L30" s="27">
        <f t="shared" si="2"/>
        <v>0.02586206896551724</v>
      </c>
      <c r="M30" s="35">
        <v>3</v>
      </c>
      <c r="N30" s="35">
        <v>0</v>
      </c>
    </row>
    <row r="31" spans="1:14" ht="15.75">
      <c r="A31" s="38" t="s">
        <v>8</v>
      </c>
      <c r="B31" s="29">
        <v>93</v>
      </c>
      <c r="C31" s="29">
        <v>44</v>
      </c>
      <c r="D31" s="27">
        <f t="shared" si="0"/>
        <v>0.4731182795698925</v>
      </c>
      <c r="E31" s="35">
        <v>43</v>
      </c>
      <c r="F31" s="35">
        <v>1</v>
      </c>
      <c r="G31" s="29">
        <v>46</v>
      </c>
      <c r="H31" s="27">
        <f t="shared" si="1"/>
        <v>0.4946236559139785</v>
      </c>
      <c r="I31" s="35">
        <v>41</v>
      </c>
      <c r="J31" s="35">
        <v>5</v>
      </c>
      <c r="K31" s="29">
        <v>3</v>
      </c>
      <c r="L31" s="27">
        <f t="shared" si="2"/>
        <v>0.03225806451612903</v>
      </c>
      <c r="M31" s="35">
        <v>3</v>
      </c>
      <c r="N31" s="35">
        <v>0</v>
      </c>
    </row>
    <row r="32" spans="1:14" ht="15.75">
      <c r="A32" s="38" t="s">
        <v>7</v>
      </c>
      <c r="B32" s="29">
        <v>14</v>
      </c>
      <c r="C32" s="29">
        <v>14</v>
      </c>
      <c r="D32" s="27">
        <f t="shared" si="0"/>
        <v>1</v>
      </c>
      <c r="E32" s="35">
        <v>14</v>
      </c>
      <c r="F32" s="35">
        <v>0</v>
      </c>
      <c r="G32" s="29">
        <v>0</v>
      </c>
      <c r="H32" s="27">
        <f t="shared" si="1"/>
        <v>0</v>
      </c>
      <c r="I32" s="35">
        <v>0</v>
      </c>
      <c r="J32" s="35">
        <v>0</v>
      </c>
      <c r="K32" s="29">
        <v>0</v>
      </c>
      <c r="L32" s="27">
        <f t="shared" si="2"/>
        <v>0</v>
      </c>
      <c r="M32" s="35">
        <v>0</v>
      </c>
      <c r="N32" s="35">
        <v>0</v>
      </c>
    </row>
    <row r="33" spans="1:14" ht="15.75">
      <c r="A33" s="38" t="s">
        <v>9</v>
      </c>
      <c r="B33" s="29">
        <v>144</v>
      </c>
      <c r="C33" s="29">
        <v>47</v>
      </c>
      <c r="D33" s="27">
        <f t="shared" si="0"/>
        <v>0.3263888888888889</v>
      </c>
      <c r="E33" s="35">
        <v>28</v>
      </c>
      <c r="F33" s="35">
        <v>19</v>
      </c>
      <c r="G33" s="29">
        <v>79</v>
      </c>
      <c r="H33" s="27">
        <f t="shared" si="1"/>
        <v>0.5486111111111112</v>
      </c>
      <c r="I33" s="35">
        <v>59</v>
      </c>
      <c r="J33" s="35">
        <v>20</v>
      </c>
      <c r="K33" s="29">
        <v>18</v>
      </c>
      <c r="L33" s="27">
        <f t="shared" si="2"/>
        <v>0.125</v>
      </c>
      <c r="M33" s="35">
        <v>14</v>
      </c>
      <c r="N33" s="35">
        <v>4</v>
      </c>
    </row>
    <row r="34" spans="1:14" ht="15.75">
      <c r="A34" s="38" t="s">
        <v>195</v>
      </c>
      <c r="B34" s="29">
        <v>86</v>
      </c>
      <c r="C34" s="29">
        <v>33</v>
      </c>
      <c r="D34" s="27">
        <f t="shared" si="0"/>
        <v>0.38372093023255816</v>
      </c>
      <c r="E34" s="35">
        <v>28</v>
      </c>
      <c r="F34" s="35">
        <v>5</v>
      </c>
      <c r="G34" s="29">
        <v>49</v>
      </c>
      <c r="H34" s="27">
        <f t="shared" si="1"/>
        <v>0.5697674418604651</v>
      </c>
      <c r="I34" s="35">
        <v>47</v>
      </c>
      <c r="J34" s="35">
        <v>2</v>
      </c>
      <c r="K34" s="29">
        <v>4</v>
      </c>
      <c r="L34" s="27">
        <f t="shared" si="2"/>
        <v>0.046511627906976744</v>
      </c>
      <c r="M34" s="35">
        <v>3</v>
      </c>
      <c r="N34" s="35">
        <v>1</v>
      </c>
    </row>
    <row r="35" spans="1:14" ht="15.75">
      <c r="A35" s="39" t="s">
        <v>189</v>
      </c>
      <c r="B35" s="40">
        <f>SUM(B26:B34)</f>
        <v>1065</v>
      </c>
      <c r="C35" s="40">
        <f>SUM(C26:C34)</f>
        <v>631</v>
      </c>
      <c r="D35" s="81">
        <f t="shared" si="0"/>
        <v>0.5924882629107981</v>
      </c>
      <c r="E35" s="40">
        <f>SUM(E26:E34)</f>
        <v>508</v>
      </c>
      <c r="F35" s="40">
        <f>SUM(F26:F34)</f>
        <v>123</v>
      </c>
      <c r="G35" s="40">
        <f>SUM(G26:G34)</f>
        <v>385</v>
      </c>
      <c r="H35" s="81">
        <f t="shared" si="1"/>
        <v>0.3615023474178404</v>
      </c>
      <c r="I35" s="40">
        <f>SUM(I26:I34)</f>
        <v>287</v>
      </c>
      <c r="J35" s="40">
        <f>SUM(J26:J34)</f>
        <v>98</v>
      </c>
      <c r="K35" s="40">
        <f>SUM(K26:K34)</f>
        <v>49</v>
      </c>
      <c r="L35" s="81">
        <f t="shared" si="2"/>
        <v>0.046009389671361506</v>
      </c>
      <c r="M35" s="40">
        <f>SUM(M26:M34)</f>
        <v>36</v>
      </c>
      <c r="N35" s="40">
        <f>SUM(N26:N34)</f>
        <v>13</v>
      </c>
    </row>
    <row r="36" spans="1:14" ht="15.75">
      <c r="A36" s="38" t="s">
        <v>10</v>
      </c>
      <c r="B36" s="22">
        <v>205</v>
      </c>
      <c r="C36" s="22">
        <v>108</v>
      </c>
      <c r="D36" s="27">
        <f t="shared" si="0"/>
        <v>0.526829268292683</v>
      </c>
      <c r="E36" s="22">
        <v>81</v>
      </c>
      <c r="F36" s="22">
        <v>27</v>
      </c>
      <c r="G36" s="22">
        <v>90</v>
      </c>
      <c r="H36" s="27">
        <f t="shared" si="1"/>
        <v>0.43902439024390244</v>
      </c>
      <c r="I36" s="22">
        <v>65</v>
      </c>
      <c r="J36" s="22">
        <v>25</v>
      </c>
      <c r="K36" s="22">
        <v>7</v>
      </c>
      <c r="L36" s="27">
        <f t="shared" si="2"/>
        <v>0.03414634146341464</v>
      </c>
      <c r="M36" s="22">
        <v>4</v>
      </c>
      <c r="N36" s="22">
        <v>3</v>
      </c>
    </row>
    <row r="37" spans="1:14" ht="15.75">
      <c r="A37" s="38" t="s">
        <v>11</v>
      </c>
      <c r="B37" s="22">
        <v>117</v>
      </c>
      <c r="C37" s="22">
        <v>71</v>
      </c>
      <c r="D37" s="27">
        <f t="shared" si="0"/>
        <v>0.6068376068376068</v>
      </c>
      <c r="E37" s="22">
        <v>66</v>
      </c>
      <c r="F37" s="22">
        <v>5</v>
      </c>
      <c r="G37" s="22">
        <v>44</v>
      </c>
      <c r="H37" s="27">
        <f t="shared" si="1"/>
        <v>0.37606837606837606</v>
      </c>
      <c r="I37" s="22">
        <v>36</v>
      </c>
      <c r="J37" s="22">
        <v>8</v>
      </c>
      <c r="K37" s="22">
        <v>2</v>
      </c>
      <c r="L37" s="27">
        <f t="shared" si="2"/>
        <v>0.017094017094017096</v>
      </c>
      <c r="M37" s="22">
        <v>0</v>
      </c>
      <c r="N37" s="22">
        <v>2</v>
      </c>
    </row>
    <row r="38" spans="1:14" ht="15.75">
      <c r="A38" s="38" t="s">
        <v>12</v>
      </c>
      <c r="B38" s="22">
        <v>118</v>
      </c>
      <c r="C38" s="22">
        <v>42</v>
      </c>
      <c r="D38" s="27">
        <f t="shared" si="0"/>
        <v>0.3559322033898305</v>
      </c>
      <c r="E38" s="22">
        <v>28</v>
      </c>
      <c r="F38" s="22">
        <v>14</v>
      </c>
      <c r="G38" s="22">
        <v>58</v>
      </c>
      <c r="H38" s="27">
        <f t="shared" si="1"/>
        <v>0.4915254237288136</v>
      </c>
      <c r="I38" s="22">
        <v>13</v>
      </c>
      <c r="J38" s="22">
        <v>45</v>
      </c>
      <c r="K38" s="22">
        <v>18</v>
      </c>
      <c r="L38" s="27">
        <f t="shared" si="2"/>
        <v>0.15254237288135594</v>
      </c>
      <c r="M38" s="22">
        <v>3</v>
      </c>
      <c r="N38" s="22">
        <v>15</v>
      </c>
    </row>
    <row r="39" spans="1:14" ht="15.75">
      <c r="A39" s="39" t="s">
        <v>44</v>
      </c>
      <c r="B39" s="40">
        <f>SUM(B36:B38)</f>
        <v>440</v>
      </c>
      <c r="C39" s="40">
        <f>SUM(C36:C38)</f>
        <v>221</v>
      </c>
      <c r="D39" s="81">
        <f t="shared" si="0"/>
        <v>0.5022727272727273</v>
      </c>
      <c r="E39" s="40">
        <f>SUM(E36:E38)</f>
        <v>175</v>
      </c>
      <c r="F39" s="40">
        <f>SUM(F36:F38)</f>
        <v>46</v>
      </c>
      <c r="G39" s="40">
        <f>SUM(G36:G38)</f>
        <v>192</v>
      </c>
      <c r="H39" s="81">
        <f t="shared" si="1"/>
        <v>0.43636363636363634</v>
      </c>
      <c r="I39" s="40">
        <f>SUM(I36:I38)</f>
        <v>114</v>
      </c>
      <c r="J39" s="40">
        <f>SUM(J36:J38)</f>
        <v>78</v>
      </c>
      <c r="K39" s="40">
        <f>SUM(K36:K38)</f>
        <v>27</v>
      </c>
      <c r="L39" s="81">
        <f t="shared" si="2"/>
        <v>0.06136363636363636</v>
      </c>
      <c r="M39" s="40">
        <f>SUM(M36:M38)</f>
        <v>7</v>
      </c>
      <c r="N39" s="40">
        <f>SUM(N36:N38)</f>
        <v>20</v>
      </c>
    </row>
    <row r="40" spans="1:14" ht="15.75">
      <c r="A40" s="41" t="s">
        <v>153</v>
      </c>
      <c r="B40" s="42">
        <f>B25+B35+B39</f>
        <v>37763</v>
      </c>
      <c r="C40" s="42">
        <f>C25+C35+C39</f>
        <v>19642</v>
      </c>
      <c r="D40" s="82">
        <f t="shared" si="0"/>
        <v>0.5201387601620634</v>
      </c>
      <c r="E40" s="42">
        <f>E25+E35+E39</f>
        <v>16757</v>
      </c>
      <c r="F40" s="42">
        <f>F25+F35+F39</f>
        <v>2885</v>
      </c>
      <c r="G40" s="42">
        <f>G25+G35+G39</f>
        <v>15563</v>
      </c>
      <c r="H40" s="82">
        <f t="shared" si="1"/>
        <v>0.412122977517676</v>
      </c>
      <c r="I40" s="42">
        <f>I25+I35+I39</f>
        <v>12871</v>
      </c>
      <c r="J40" s="42">
        <f>J25+J35+J39</f>
        <v>2692</v>
      </c>
      <c r="K40" s="42">
        <f>K25+K35+K39</f>
        <v>2548</v>
      </c>
      <c r="L40" s="82">
        <f t="shared" si="2"/>
        <v>0.06747345285067394</v>
      </c>
      <c r="M40" s="42">
        <f>M25+M35+M39</f>
        <v>2021</v>
      </c>
      <c r="N40" s="42">
        <f>N25+N35+N39</f>
        <v>527</v>
      </c>
    </row>
    <row r="41" ht="12.75">
      <c r="N41" s="200" t="s">
        <v>217</v>
      </c>
    </row>
  </sheetData>
  <mergeCells count="7">
    <mergeCell ref="A1:N1"/>
    <mergeCell ref="A2:A4"/>
    <mergeCell ref="C3:F3"/>
    <mergeCell ref="G3:J3"/>
    <mergeCell ref="K3:N3"/>
    <mergeCell ref="B2:N2"/>
    <mergeCell ref="B3:B4"/>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64" r:id="rId1"/>
</worksheet>
</file>

<file path=xl/worksheets/sheet15.xml><?xml version="1.0" encoding="utf-8"?>
<worksheet xmlns="http://schemas.openxmlformats.org/spreadsheetml/2006/main" xmlns:r="http://schemas.openxmlformats.org/officeDocument/2006/relationships">
  <sheetPr codeName="Hárok37">
    <tabColor indexed="42"/>
    <pageSetUpPr fitToPage="1"/>
  </sheetPr>
  <dimension ref="A1:O28"/>
  <sheetViews>
    <sheetView zoomScale="85" zoomScaleNormal="85" zoomScaleSheetLayoutView="85" workbookViewId="0" topLeftCell="A1">
      <pane xSplit="1" ySplit="3" topLeftCell="B4" activePane="bottomRight" state="frozen"/>
      <selection pane="topLeft" activeCell="E7" sqref="E7"/>
      <selection pane="topRight" activeCell="E7" sqref="E7"/>
      <selection pane="bottomLeft" activeCell="E7" sqref="E7"/>
      <selection pane="bottomRight" activeCell="M26" sqref="M26"/>
    </sheetView>
  </sheetViews>
  <sheetFormatPr defaultColWidth="9.140625" defaultRowHeight="12.75"/>
  <cols>
    <col min="1" max="1" width="25.7109375" style="232" customWidth="1"/>
    <col min="2" max="2" width="12.8515625" style="232" customWidth="1"/>
    <col min="3" max="3" width="14.140625" style="233" customWidth="1"/>
    <col min="4" max="4" width="12.8515625" style="233" customWidth="1"/>
    <col min="5" max="5" width="14.140625" style="233" customWidth="1"/>
    <col min="6" max="6" width="12.8515625" style="233" customWidth="1"/>
    <col min="7" max="7" width="14.140625" style="233" customWidth="1"/>
    <col min="8" max="8" width="12.8515625" style="233" customWidth="1"/>
    <col min="9" max="9" width="14.140625" style="233" customWidth="1"/>
    <col min="10" max="10" width="12.8515625" style="233" customWidth="1"/>
    <col min="11" max="11" width="14.140625" style="233" customWidth="1"/>
    <col min="12" max="12" width="12.8515625" style="233" customWidth="1"/>
    <col min="13" max="13" width="14.140625" style="233" customWidth="1"/>
    <col min="14" max="16384" width="9.140625" style="229" customWidth="1"/>
  </cols>
  <sheetData>
    <row r="1" spans="1:13" ht="75" customHeight="1">
      <c r="A1" s="572" t="s">
        <v>319</v>
      </c>
      <c r="B1" s="572"/>
      <c r="C1" s="572"/>
      <c r="D1" s="572"/>
      <c r="E1" s="572"/>
      <c r="F1" s="572"/>
      <c r="G1" s="572"/>
      <c r="H1" s="572"/>
      <c r="I1" s="572"/>
      <c r="J1" s="572"/>
      <c r="K1" s="572"/>
      <c r="L1" s="572"/>
      <c r="M1" s="572"/>
    </row>
    <row r="2" spans="1:13" s="230" customFormat="1" ht="17.25" customHeight="1">
      <c r="A2" s="589" t="s">
        <v>154</v>
      </c>
      <c r="B2" s="589" t="s">
        <v>300</v>
      </c>
      <c r="C2" s="591" t="s">
        <v>304</v>
      </c>
      <c r="D2" s="592" t="s">
        <v>305</v>
      </c>
      <c r="E2" s="592"/>
      <c r="F2" s="592"/>
      <c r="G2" s="592"/>
      <c r="H2" s="592"/>
      <c r="I2" s="592"/>
      <c r="J2" s="592"/>
      <c r="K2" s="592"/>
      <c r="L2" s="592"/>
      <c r="M2" s="592"/>
    </row>
    <row r="3" spans="1:13" s="230" customFormat="1" ht="63" customHeight="1">
      <c r="A3" s="589"/>
      <c r="B3" s="589"/>
      <c r="C3" s="591"/>
      <c r="D3" s="234" t="s">
        <v>306</v>
      </c>
      <c r="E3" s="36" t="s">
        <v>307</v>
      </c>
      <c r="F3" s="234" t="s">
        <v>316</v>
      </c>
      <c r="G3" s="36" t="s">
        <v>308</v>
      </c>
      <c r="H3" s="234" t="s">
        <v>309</v>
      </c>
      <c r="I3" s="36" t="s">
        <v>310</v>
      </c>
      <c r="J3" s="234" t="s">
        <v>311</v>
      </c>
      <c r="K3" s="36" t="s">
        <v>312</v>
      </c>
      <c r="L3" s="234" t="s">
        <v>313</v>
      </c>
      <c r="M3" s="36" t="s">
        <v>314</v>
      </c>
    </row>
    <row r="4" spans="1:13" s="230" customFormat="1" ht="15.75">
      <c r="A4" s="238" t="s">
        <v>301</v>
      </c>
      <c r="B4" s="238" t="s">
        <v>302</v>
      </c>
      <c r="C4" s="239" t="s">
        <v>315</v>
      </c>
      <c r="D4" s="238" t="s">
        <v>302</v>
      </c>
      <c r="E4" s="240" t="s">
        <v>315</v>
      </c>
      <c r="F4" s="238" t="s">
        <v>302</v>
      </c>
      <c r="G4" s="240" t="s">
        <v>315</v>
      </c>
      <c r="H4" s="238" t="s">
        <v>302</v>
      </c>
      <c r="I4" s="240" t="s">
        <v>315</v>
      </c>
      <c r="J4" s="238" t="s">
        <v>302</v>
      </c>
      <c r="K4" s="240" t="s">
        <v>315</v>
      </c>
      <c r="L4" s="238" t="s">
        <v>302</v>
      </c>
      <c r="M4" s="240" t="s">
        <v>315</v>
      </c>
    </row>
    <row r="5" spans="1:13" ht="15.75">
      <c r="A5" s="201" t="s">
        <v>60</v>
      </c>
      <c r="B5" s="241">
        <v>1914</v>
      </c>
      <c r="C5" s="242">
        <v>27809</v>
      </c>
      <c r="D5" s="243">
        <v>312</v>
      </c>
      <c r="E5" s="244">
        <v>38507</v>
      </c>
      <c r="F5" s="243">
        <v>387</v>
      </c>
      <c r="G5" s="244">
        <v>32548</v>
      </c>
      <c r="H5" s="243">
        <v>1093</v>
      </c>
      <c r="I5" s="244">
        <v>24128</v>
      </c>
      <c r="J5" s="243">
        <v>84</v>
      </c>
      <c r="K5" s="244">
        <v>17308</v>
      </c>
      <c r="L5" s="243">
        <v>38</v>
      </c>
      <c r="M5" s="244">
        <v>20800</v>
      </c>
    </row>
    <row r="6" spans="1:13" ht="15.75">
      <c r="A6" s="201" t="s">
        <v>78</v>
      </c>
      <c r="B6" s="241">
        <v>526</v>
      </c>
      <c r="C6" s="242">
        <v>26664</v>
      </c>
      <c r="D6" s="243">
        <v>91</v>
      </c>
      <c r="E6" s="244">
        <v>36094</v>
      </c>
      <c r="F6" s="243">
        <v>89</v>
      </c>
      <c r="G6" s="244">
        <v>30711</v>
      </c>
      <c r="H6" s="243">
        <v>267</v>
      </c>
      <c r="I6" s="244">
        <v>24535</v>
      </c>
      <c r="J6" s="243">
        <v>74</v>
      </c>
      <c r="K6" s="244">
        <v>18345</v>
      </c>
      <c r="L6" s="243">
        <v>5</v>
      </c>
      <c r="M6" s="244">
        <v>19867</v>
      </c>
    </row>
    <row r="7" spans="1:13" ht="15.75">
      <c r="A7" s="201" t="s">
        <v>80</v>
      </c>
      <c r="B7" s="241">
        <v>481</v>
      </c>
      <c r="C7" s="242">
        <v>24753</v>
      </c>
      <c r="D7" s="243">
        <v>66</v>
      </c>
      <c r="E7" s="244">
        <v>34394</v>
      </c>
      <c r="F7" s="243">
        <v>74</v>
      </c>
      <c r="G7" s="244">
        <v>29385</v>
      </c>
      <c r="H7" s="243">
        <v>306</v>
      </c>
      <c r="I7" s="244">
        <v>22259</v>
      </c>
      <c r="J7" s="243">
        <v>25</v>
      </c>
      <c r="K7" s="244">
        <v>18217</v>
      </c>
      <c r="L7" s="243">
        <v>10</v>
      </c>
      <c r="M7" s="244">
        <v>19483</v>
      </c>
    </row>
    <row r="8" spans="1:13" ht="15.75">
      <c r="A8" s="201" t="s">
        <v>87</v>
      </c>
      <c r="B8" s="241">
        <v>222</v>
      </c>
      <c r="C8" s="242">
        <v>23042</v>
      </c>
      <c r="D8" s="243">
        <v>27</v>
      </c>
      <c r="E8" s="244">
        <v>31904</v>
      </c>
      <c r="F8" s="243">
        <v>41</v>
      </c>
      <c r="G8" s="244">
        <v>26236</v>
      </c>
      <c r="H8" s="243">
        <v>135</v>
      </c>
      <c r="I8" s="244">
        <v>21433</v>
      </c>
      <c r="J8" s="243">
        <v>18</v>
      </c>
      <c r="K8" s="244">
        <v>14764</v>
      </c>
      <c r="L8" s="243">
        <v>1</v>
      </c>
      <c r="M8" s="244">
        <v>19000</v>
      </c>
    </row>
    <row r="9" spans="1:13" ht="15.75">
      <c r="A9" s="201" t="s">
        <v>90</v>
      </c>
      <c r="B9" s="241">
        <v>145</v>
      </c>
      <c r="C9" s="242">
        <v>31979</v>
      </c>
      <c r="D9" s="243">
        <v>25</v>
      </c>
      <c r="E9" s="244">
        <v>45353</v>
      </c>
      <c r="F9" s="243">
        <v>34</v>
      </c>
      <c r="G9" s="244">
        <v>36385</v>
      </c>
      <c r="H9" s="243">
        <v>86</v>
      </c>
      <c r="I9" s="244">
        <v>26349</v>
      </c>
      <c r="J9" s="243">
        <v>0</v>
      </c>
      <c r="K9" s="244">
        <v>0</v>
      </c>
      <c r="L9" s="243">
        <v>0</v>
      </c>
      <c r="M9" s="244">
        <v>0</v>
      </c>
    </row>
    <row r="10" spans="1:13" ht="15.75">
      <c r="A10" s="201" t="s">
        <v>91</v>
      </c>
      <c r="B10" s="241">
        <v>522</v>
      </c>
      <c r="C10" s="242">
        <v>26549</v>
      </c>
      <c r="D10" s="243">
        <v>69</v>
      </c>
      <c r="E10" s="244">
        <v>38412</v>
      </c>
      <c r="F10" s="243">
        <v>67</v>
      </c>
      <c r="G10" s="244">
        <v>31800</v>
      </c>
      <c r="H10" s="243">
        <v>287</v>
      </c>
      <c r="I10" s="244">
        <v>23859</v>
      </c>
      <c r="J10" s="243">
        <v>94</v>
      </c>
      <c r="K10" s="244">
        <v>22712</v>
      </c>
      <c r="L10" s="243">
        <v>5</v>
      </c>
      <c r="M10" s="244">
        <v>19083</v>
      </c>
    </row>
    <row r="11" spans="1:13" ht="15.75">
      <c r="A11" s="201" t="s">
        <v>94</v>
      </c>
      <c r="B11" s="241">
        <v>662</v>
      </c>
      <c r="C11" s="242">
        <v>23111</v>
      </c>
      <c r="D11" s="243">
        <v>73</v>
      </c>
      <c r="E11" s="244">
        <v>31974</v>
      </c>
      <c r="F11" s="243">
        <v>118</v>
      </c>
      <c r="G11" s="244">
        <v>30386</v>
      </c>
      <c r="H11" s="243">
        <v>417</v>
      </c>
      <c r="I11" s="244">
        <v>20627</v>
      </c>
      <c r="J11" s="243">
        <v>54</v>
      </c>
      <c r="K11" s="244">
        <v>14363</v>
      </c>
      <c r="L11" s="243">
        <v>0</v>
      </c>
      <c r="M11" s="244">
        <v>0</v>
      </c>
    </row>
    <row r="12" spans="1:13" ht="15.75">
      <c r="A12" s="201" t="s">
        <v>98</v>
      </c>
      <c r="B12" s="241">
        <v>291</v>
      </c>
      <c r="C12" s="242">
        <v>28216</v>
      </c>
      <c r="D12" s="243">
        <v>47</v>
      </c>
      <c r="E12" s="244">
        <v>37129</v>
      </c>
      <c r="F12" s="243">
        <v>75</v>
      </c>
      <c r="G12" s="244">
        <v>32679</v>
      </c>
      <c r="H12" s="243">
        <v>155</v>
      </c>
      <c r="I12" s="244">
        <v>24292</v>
      </c>
      <c r="J12" s="243">
        <v>14</v>
      </c>
      <c r="K12" s="244">
        <v>17821</v>
      </c>
      <c r="L12" s="243">
        <v>0</v>
      </c>
      <c r="M12" s="244">
        <v>0</v>
      </c>
    </row>
    <row r="13" spans="1:13" ht="15.75">
      <c r="A13" s="201" t="s">
        <v>101</v>
      </c>
      <c r="B13" s="241">
        <v>1211</v>
      </c>
      <c r="C13" s="242">
        <v>30101</v>
      </c>
      <c r="D13" s="243">
        <v>153</v>
      </c>
      <c r="E13" s="244">
        <v>46627</v>
      </c>
      <c r="F13" s="243">
        <v>368</v>
      </c>
      <c r="G13" s="244">
        <v>34269</v>
      </c>
      <c r="H13" s="243">
        <v>670</v>
      </c>
      <c r="I13" s="244">
        <v>24373</v>
      </c>
      <c r="J13" s="243">
        <v>14</v>
      </c>
      <c r="K13" s="244">
        <v>18720</v>
      </c>
      <c r="L13" s="243">
        <v>6</v>
      </c>
      <c r="M13" s="244">
        <v>19264</v>
      </c>
    </row>
    <row r="14" spans="1:13" ht="15.75">
      <c r="A14" s="201" t="s">
        <v>106</v>
      </c>
      <c r="B14" s="241">
        <v>819</v>
      </c>
      <c r="C14" s="242">
        <v>27610</v>
      </c>
      <c r="D14" s="243">
        <v>103</v>
      </c>
      <c r="E14" s="244">
        <v>43829</v>
      </c>
      <c r="F14" s="243">
        <v>186</v>
      </c>
      <c r="G14" s="244">
        <v>32675</v>
      </c>
      <c r="H14" s="243">
        <v>522</v>
      </c>
      <c r="I14" s="244">
        <v>22747</v>
      </c>
      <c r="J14" s="243">
        <v>2</v>
      </c>
      <c r="K14" s="244">
        <v>14500</v>
      </c>
      <c r="L14" s="243">
        <v>6</v>
      </c>
      <c r="M14" s="244">
        <v>19597</v>
      </c>
    </row>
    <row r="15" spans="1:13" ht="15.75">
      <c r="A15" s="201" t="s">
        <v>111</v>
      </c>
      <c r="B15" s="241">
        <v>639</v>
      </c>
      <c r="C15" s="242">
        <v>27952</v>
      </c>
      <c r="D15" s="243">
        <v>83</v>
      </c>
      <c r="E15" s="244">
        <v>43600</v>
      </c>
      <c r="F15" s="243">
        <v>132</v>
      </c>
      <c r="G15" s="244">
        <v>32497</v>
      </c>
      <c r="H15" s="243">
        <v>401</v>
      </c>
      <c r="I15" s="244">
        <v>23786</v>
      </c>
      <c r="J15" s="243">
        <v>12</v>
      </c>
      <c r="K15" s="244">
        <v>18576</v>
      </c>
      <c r="L15" s="243">
        <v>11</v>
      </c>
      <c r="M15" s="244">
        <v>17424</v>
      </c>
    </row>
    <row r="16" spans="1:13" ht="15.75">
      <c r="A16" s="201" t="s">
        <v>115</v>
      </c>
      <c r="B16" s="241">
        <v>235</v>
      </c>
      <c r="C16" s="242">
        <v>24318</v>
      </c>
      <c r="D16" s="243">
        <v>39</v>
      </c>
      <c r="E16" s="244">
        <v>32340</v>
      </c>
      <c r="F16" s="243">
        <v>38</v>
      </c>
      <c r="G16" s="244">
        <v>28739</v>
      </c>
      <c r="H16" s="243">
        <v>149</v>
      </c>
      <c r="I16" s="244">
        <v>21676</v>
      </c>
      <c r="J16" s="243">
        <v>9</v>
      </c>
      <c r="K16" s="244">
        <v>14630</v>
      </c>
      <c r="L16" s="243">
        <v>0</v>
      </c>
      <c r="M16" s="244">
        <v>0</v>
      </c>
    </row>
    <row r="17" spans="1:13" ht="15.75">
      <c r="A17" s="201" t="s">
        <v>120</v>
      </c>
      <c r="B17" s="241">
        <v>585</v>
      </c>
      <c r="C17" s="242">
        <v>23794</v>
      </c>
      <c r="D17" s="243">
        <v>54</v>
      </c>
      <c r="E17" s="244">
        <v>34301</v>
      </c>
      <c r="F17" s="243">
        <v>128</v>
      </c>
      <c r="G17" s="244">
        <v>28845</v>
      </c>
      <c r="H17" s="243">
        <v>372</v>
      </c>
      <c r="I17" s="244">
        <v>21045</v>
      </c>
      <c r="J17" s="243">
        <v>28</v>
      </c>
      <c r="K17" s="244">
        <v>17429</v>
      </c>
      <c r="L17" s="243">
        <v>3</v>
      </c>
      <c r="M17" s="244">
        <v>19444</v>
      </c>
    </row>
    <row r="18" spans="1:13" ht="15.75">
      <c r="A18" s="201" t="s">
        <v>127</v>
      </c>
      <c r="B18" s="241">
        <v>450</v>
      </c>
      <c r="C18" s="242">
        <v>27466</v>
      </c>
      <c r="D18" s="243">
        <v>49</v>
      </c>
      <c r="E18" s="244">
        <v>38068</v>
      </c>
      <c r="F18" s="243">
        <v>124</v>
      </c>
      <c r="G18" s="244">
        <v>31784</v>
      </c>
      <c r="H18" s="243">
        <v>273</v>
      </c>
      <c r="I18" s="244">
        <v>23688</v>
      </c>
      <c r="J18" s="243">
        <v>4</v>
      </c>
      <c r="K18" s="244">
        <v>21583</v>
      </c>
      <c r="L18" s="243">
        <v>0</v>
      </c>
      <c r="M18" s="244">
        <v>0</v>
      </c>
    </row>
    <row r="19" spans="1:13" ht="15.75">
      <c r="A19" s="201" t="s">
        <v>133</v>
      </c>
      <c r="B19" s="241">
        <v>274</v>
      </c>
      <c r="C19" s="242">
        <v>25259</v>
      </c>
      <c r="D19" s="243">
        <v>40</v>
      </c>
      <c r="E19" s="244">
        <v>33010</v>
      </c>
      <c r="F19" s="243">
        <v>74</v>
      </c>
      <c r="G19" s="244">
        <v>29236</v>
      </c>
      <c r="H19" s="243">
        <v>158</v>
      </c>
      <c r="I19" s="244">
        <v>21565</v>
      </c>
      <c r="J19" s="243">
        <v>1</v>
      </c>
      <c r="K19" s="244">
        <v>18833</v>
      </c>
      <c r="L19" s="243">
        <v>1</v>
      </c>
      <c r="M19" s="244">
        <v>10917</v>
      </c>
    </row>
    <row r="20" spans="1:13" ht="15.75" customHeight="1">
      <c r="A20" s="201" t="s">
        <v>137</v>
      </c>
      <c r="B20" s="241">
        <v>147</v>
      </c>
      <c r="C20" s="242">
        <v>26023</v>
      </c>
      <c r="D20" s="243">
        <v>28</v>
      </c>
      <c r="E20" s="244">
        <v>30872</v>
      </c>
      <c r="F20" s="243">
        <v>42</v>
      </c>
      <c r="G20" s="244">
        <v>27683</v>
      </c>
      <c r="H20" s="243">
        <v>36</v>
      </c>
      <c r="I20" s="244">
        <v>25007</v>
      </c>
      <c r="J20" s="243">
        <v>41</v>
      </c>
      <c r="K20" s="244">
        <v>21902</v>
      </c>
      <c r="L20" s="243">
        <v>0</v>
      </c>
      <c r="M20" s="244">
        <v>0</v>
      </c>
    </row>
    <row r="21" spans="1:13" ht="15.75">
      <c r="A21" s="201" t="s">
        <v>141</v>
      </c>
      <c r="B21" s="241">
        <v>104</v>
      </c>
      <c r="C21" s="242">
        <v>26064</v>
      </c>
      <c r="D21" s="243">
        <v>13</v>
      </c>
      <c r="E21" s="244">
        <v>35641</v>
      </c>
      <c r="F21" s="243">
        <v>30</v>
      </c>
      <c r="G21" s="244">
        <v>31156</v>
      </c>
      <c r="H21" s="243">
        <v>31</v>
      </c>
      <c r="I21" s="244">
        <v>25183</v>
      </c>
      <c r="J21" s="243">
        <v>30</v>
      </c>
      <c r="K21" s="244">
        <v>17733</v>
      </c>
      <c r="L21" s="243">
        <v>0</v>
      </c>
      <c r="M21" s="244">
        <v>0</v>
      </c>
    </row>
    <row r="22" spans="1:13" ht="15.75" customHeight="1">
      <c r="A22" s="201" t="s">
        <v>142</v>
      </c>
      <c r="B22" s="241">
        <v>77</v>
      </c>
      <c r="C22" s="242">
        <v>24587</v>
      </c>
      <c r="D22" s="243">
        <v>24</v>
      </c>
      <c r="E22" s="244">
        <v>29826</v>
      </c>
      <c r="F22" s="243">
        <v>11</v>
      </c>
      <c r="G22" s="244">
        <v>26038</v>
      </c>
      <c r="H22" s="243">
        <v>33</v>
      </c>
      <c r="I22" s="244">
        <v>22533</v>
      </c>
      <c r="J22" s="243">
        <v>9</v>
      </c>
      <c r="K22" s="244">
        <v>16370</v>
      </c>
      <c r="L22" s="243">
        <v>0</v>
      </c>
      <c r="M22" s="244">
        <v>0</v>
      </c>
    </row>
    <row r="23" spans="1:13" ht="15.75" customHeight="1">
      <c r="A23" s="201" t="s">
        <v>303</v>
      </c>
      <c r="B23" s="241">
        <v>249</v>
      </c>
      <c r="C23" s="242">
        <v>26787</v>
      </c>
      <c r="D23" s="243">
        <v>34</v>
      </c>
      <c r="E23" s="244">
        <v>39515</v>
      </c>
      <c r="F23" s="243">
        <v>43</v>
      </c>
      <c r="G23" s="244">
        <v>30475</v>
      </c>
      <c r="H23" s="243">
        <v>128</v>
      </c>
      <c r="I23" s="244">
        <v>24437</v>
      </c>
      <c r="J23" s="243">
        <v>42</v>
      </c>
      <c r="K23" s="244">
        <v>20183</v>
      </c>
      <c r="L23" s="243">
        <v>2</v>
      </c>
      <c r="M23" s="244">
        <v>20250</v>
      </c>
    </row>
    <row r="24" spans="1:13" ht="15.75">
      <c r="A24" s="201" t="s">
        <v>147</v>
      </c>
      <c r="B24" s="241">
        <v>71</v>
      </c>
      <c r="C24" s="242">
        <v>23739</v>
      </c>
      <c r="D24" s="243">
        <v>13</v>
      </c>
      <c r="E24" s="244">
        <v>35288</v>
      </c>
      <c r="F24" s="243">
        <v>5</v>
      </c>
      <c r="G24" s="244">
        <v>28617</v>
      </c>
      <c r="H24" s="243">
        <v>14</v>
      </c>
      <c r="I24" s="244">
        <v>24137</v>
      </c>
      <c r="J24" s="243">
        <v>39</v>
      </c>
      <c r="K24" s="244">
        <v>19122</v>
      </c>
      <c r="L24" s="243">
        <v>0</v>
      </c>
      <c r="M24" s="244">
        <v>0</v>
      </c>
    </row>
    <row r="25" spans="1:15" s="231" customFormat="1" ht="15.75">
      <c r="A25" s="206" t="s">
        <v>155</v>
      </c>
      <c r="B25" s="245">
        <v>9624</v>
      </c>
      <c r="C25" s="246">
        <v>26902</v>
      </c>
      <c r="D25" s="245">
        <v>1343</v>
      </c>
      <c r="E25" s="246">
        <v>38500</v>
      </c>
      <c r="F25" s="245">
        <v>2066</v>
      </c>
      <c r="G25" s="246">
        <v>31795</v>
      </c>
      <c r="H25" s="245">
        <v>5533</v>
      </c>
      <c r="I25" s="246">
        <v>23255</v>
      </c>
      <c r="J25" s="245">
        <v>594</v>
      </c>
      <c r="K25" s="246">
        <v>18690</v>
      </c>
      <c r="L25" s="245">
        <v>88</v>
      </c>
      <c r="M25" s="246">
        <v>19730</v>
      </c>
      <c r="N25" s="229"/>
      <c r="O25" s="229"/>
    </row>
    <row r="26" spans="1:13" ht="15.75">
      <c r="A26" s="237" t="s">
        <v>317</v>
      </c>
      <c r="M26" s="236"/>
    </row>
    <row r="28" ht="15.75">
      <c r="A28" s="235" t="s">
        <v>318</v>
      </c>
    </row>
  </sheetData>
  <mergeCells count="5">
    <mergeCell ref="A1:M1"/>
    <mergeCell ref="B2:B3"/>
    <mergeCell ref="C2:C3"/>
    <mergeCell ref="D2:M2"/>
    <mergeCell ref="A2:A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tabColor indexed="42"/>
    <pageSetUpPr fitToPage="1"/>
  </sheetPr>
  <dimension ref="A1:G15"/>
  <sheetViews>
    <sheetView workbookViewId="0" topLeftCell="A2">
      <selection activeCell="I39" sqref="I39"/>
    </sheetView>
  </sheetViews>
  <sheetFormatPr defaultColWidth="9.140625" defaultRowHeight="12.75"/>
  <cols>
    <col min="1" max="1" width="25.7109375" style="0" customWidth="1"/>
    <col min="2" max="7" width="13.00390625" style="0" customWidth="1"/>
  </cols>
  <sheetData>
    <row r="1" spans="1:7" ht="75" customHeight="1">
      <c r="A1" s="593" t="s">
        <v>336</v>
      </c>
      <c r="B1" s="593"/>
      <c r="C1" s="593"/>
      <c r="D1" s="593"/>
      <c r="E1" s="593"/>
      <c r="F1" s="593"/>
      <c r="G1" s="593"/>
    </row>
    <row r="2" spans="1:7" ht="31.5" customHeight="1">
      <c r="A2" s="589" t="s">
        <v>320</v>
      </c>
      <c r="B2" s="589" t="s">
        <v>321</v>
      </c>
      <c r="C2" s="589"/>
      <c r="D2" s="594" t="s">
        <v>322</v>
      </c>
      <c r="E2" s="594"/>
      <c r="F2" s="594" t="s">
        <v>323</v>
      </c>
      <c r="G2" s="594"/>
    </row>
    <row r="3" spans="1:7" ht="15.75">
      <c r="A3" s="589"/>
      <c r="B3" s="128" t="s">
        <v>334</v>
      </c>
      <c r="C3" s="259" t="s">
        <v>335</v>
      </c>
      <c r="D3" s="128" t="s">
        <v>334</v>
      </c>
      <c r="E3" s="259" t="s">
        <v>335</v>
      </c>
      <c r="F3" s="128" t="s">
        <v>334</v>
      </c>
      <c r="G3" s="259" t="s">
        <v>335</v>
      </c>
    </row>
    <row r="4" spans="1:7" ht="15">
      <c r="A4" s="258" t="s">
        <v>324</v>
      </c>
      <c r="B4" s="144">
        <v>0</v>
      </c>
      <c r="C4" s="251">
        <f>B4/B$14</f>
        <v>0</v>
      </c>
      <c r="D4" s="252">
        <v>0</v>
      </c>
      <c r="E4" s="251">
        <f aca="true" t="shared" si="0" ref="E4:E14">D4/D$14</f>
        <v>0</v>
      </c>
      <c r="F4" s="252">
        <v>20</v>
      </c>
      <c r="G4" s="251">
        <f aca="true" t="shared" si="1" ref="G4:G14">F4/F$14</f>
        <v>0.002898550724637681</v>
      </c>
    </row>
    <row r="5" spans="1:7" ht="15">
      <c r="A5" s="253" t="s">
        <v>325</v>
      </c>
      <c r="B5" s="144">
        <v>0</v>
      </c>
      <c r="C5" s="251">
        <f aca="true" t="shared" si="2" ref="C5:C14">B5/B$14</f>
        <v>0</v>
      </c>
      <c r="D5" s="144">
        <v>3</v>
      </c>
      <c r="E5" s="251">
        <f t="shared" si="0"/>
        <v>0.0012760527435133986</v>
      </c>
      <c r="F5" s="144">
        <v>868</v>
      </c>
      <c r="G5" s="251">
        <f t="shared" si="1"/>
        <v>0.12579710144927536</v>
      </c>
    </row>
    <row r="6" spans="1:7" ht="15">
      <c r="A6" s="254" t="s">
        <v>326</v>
      </c>
      <c r="B6" s="144">
        <v>0</v>
      </c>
      <c r="C6" s="251">
        <f t="shared" si="2"/>
        <v>0</v>
      </c>
      <c r="D6" s="252">
        <v>36</v>
      </c>
      <c r="E6" s="251">
        <f t="shared" si="0"/>
        <v>0.015312632922160783</v>
      </c>
      <c r="F6" s="252">
        <v>1358</v>
      </c>
      <c r="G6" s="251">
        <f t="shared" si="1"/>
        <v>0.19681159420289854</v>
      </c>
    </row>
    <row r="7" spans="1:7" ht="15">
      <c r="A7" s="254" t="s">
        <v>327</v>
      </c>
      <c r="B7" s="144">
        <v>11</v>
      </c>
      <c r="C7" s="251">
        <f t="shared" si="2"/>
        <v>0.007138221933809215</v>
      </c>
      <c r="D7" s="252">
        <v>110</v>
      </c>
      <c r="E7" s="251">
        <f t="shared" si="0"/>
        <v>0.04678860059549128</v>
      </c>
      <c r="F7" s="252">
        <v>862</v>
      </c>
      <c r="G7" s="251">
        <f t="shared" si="1"/>
        <v>0.12492753623188406</v>
      </c>
    </row>
    <row r="8" spans="1:7" ht="15">
      <c r="A8" s="254" t="s">
        <v>328</v>
      </c>
      <c r="B8" s="144">
        <v>45</v>
      </c>
      <c r="C8" s="251">
        <f t="shared" si="2"/>
        <v>0.029201817001946788</v>
      </c>
      <c r="D8" s="252">
        <v>221</v>
      </c>
      <c r="E8" s="251">
        <f t="shared" si="0"/>
        <v>0.09400255210548703</v>
      </c>
      <c r="F8" s="252">
        <v>789</v>
      </c>
      <c r="G8" s="251">
        <f t="shared" si="1"/>
        <v>0.11434782608695652</v>
      </c>
    </row>
    <row r="9" spans="1:7" ht="15">
      <c r="A9" s="254" t="s">
        <v>329</v>
      </c>
      <c r="B9" s="144">
        <v>108</v>
      </c>
      <c r="C9" s="251">
        <f t="shared" si="2"/>
        <v>0.07008436080467229</v>
      </c>
      <c r="D9" s="252">
        <v>287</v>
      </c>
      <c r="E9" s="251">
        <f t="shared" si="0"/>
        <v>0.1220757124627818</v>
      </c>
      <c r="F9" s="252">
        <v>793</v>
      </c>
      <c r="G9" s="251">
        <f t="shared" si="1"/>
        <v>0.11492753623188406</v>
      </c>
    </row>
    <row r="10" spans="1:7" ht="15">
      <c r="A10" s="254" t="s">
        <v>330</v>
      </c>
      <c r="B10" s="144">
        <v>308</v>
      </c>
      <c r="C10" s="251">
        <f t="shared" si="2"/>
        <v>0.199870214146658</v>
      </c>
      <c r="D10" s="252">
        <v>471</v>
      </c>
      <c r="E10" s="251">
        <f t="shared" si="0"/>
        <v>0.20034028073160356</v>
      </c>
      <c r="F10" s="252">
        <v>851</v>
      </c>
      <c r="G10" s="251">
        <f t="shared" si="1"/>
        <v>0.12333333333333334</v>
      </c>
    </row>
    <row r="11" spans="1:7" ht="15">
      <c r="A11" s="254" t="s">
        <v>331</v>
      </c>
      <c r="B11" s="144">
        <v>420</v>
      </c>
      <c r="C11" s="251">
        <f t="shared" si="2"/>
        <v>0.27255029201817</v>
      </c>
      <c r="D11" s="252">
        <v>555</v>
      </c>
      <c r="E11" s="251">
        <f t="shared" si="0"/>
        <v>0.23606975754997872</v>
      </c>
      <c r="F11" s="252">
        <v>744</v>
      </c>
      <c r="G11" s="251">
        <f t="shared" si="1"/>
        <v>0.10782608695652174</v>
      </c>
    </row>
    <row r="12" spans="1:7" ht="15">
      <c r="A12" s="254" t="s">
        <v>332</v>
      </c>
      <c r="B12" s="144">
        <v>351</v>
      </c>
      <c r="C12" s="251">
        <f t="shared" si="2"/>
        <v>0.22777417261518496</v>
      </c>
      <c r="D12" s="252">
        <v>430</v>
      </c>
      <c r="E12" s="251">
        <f t="shared" si="0"/>
        <v>0.18290089323692046</v>
      </c>
      <c r="F12" s="252">
        <v>361</v>
      </c>
      <c r="G12" s="251">
        <f t="shared" si="1"/>
        <v>0.052318840579710146</v>
      </c>
    </row>
    <row r="13" spans="1:7" ht="15">
      <c r="A13" s="254" t="s">
        <v>333</v>
      </c>
      <c r="B13" s="144">
        <v>298</v>
      </c>
      <c r="C13" s="251">
        <f t="shared" si="2"/>
        <v>0.19338092147955874</v>
      </c>
      <c r="D13" s="252">
        <v>238</v>
      </c>
      <c r="E13" s="251">
        <f t="shared" si="0"/>
        <v>0.10123351765206295</v>
      </c>
      <c r="F13" s="252">
        <v>254</v>
      </c>
      <c r="G13" s="251">
        <f t="shared" si="1"/>
        <v>0.03681159420289855</v>
      </c>
    </row>
    <row r="14" spans="1:7" ht="15">
      <c r="A14" s="255" t="s">
        <v>155</v>
      </c>
      <c r="B14" s="256">
        <f>+SUM(B4:B13)</f>
        <v>1541</v>
      </c>
      <c r="C14" s="257">
        <f t="shared" si="2"/>
        <v>1</v>
      </c>
      <c r="D14" s="256">
        <f>+SUM(D4:D13)</f>
        <v>2351</v>
      </c>
      <c r="E14" s="257">
        <f t="shared" si="0"/>
        <v>1</v>
      </c>
      <c r="F14" s="256">
        <f>+SUM(F4:F13)</f>
        <v>6900</v>
      </c>
      <c r="G14" s="257">
        <f t="shared" si="1"/>
        <v>1</v>
      </c>
    </row>
    <row r="15" ht="12.75">
      <c r="G15" s="200" t="s">
        <v>217</v>
      </c>
    </row>
  </sheetData>
  <mergeCells count="5">
    <mergeCell ref="A1:G1"/>
    <mergeCell ref="F2:G2"/>
    <mergeCell ref="D2:E2"/>
    <mergeCell ref="B2:C2"/>
    <mergeCell ref="A2:A3"/>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sheetPr codeName="Hárok22">
    <tabColor indexed="45"/>
    <pageSetUpPr fitToPage="1"/>
  </sheetPr>
  <dimension ref="A1:L24"/>
  <sheetViews>
    <sheetView workbookViewId="0" topLeftCell="A1">
      <selection activeCell="J24" sqref="J24"/>
    </sheetView>
  </sheetViews>
  <sheetFormatPr defaultColWidth="9.140625" defaultRowHeight="12.75"/>
  <cols>
    <col min="1" max="1" width="25.7109375" style="284" customWidth="1"/>
    <col min="2" max="10" width="15.7109375" style="284" customWidth="1"/>
    <col min="11" max="16384" width="9.140625" style="284" customWidth="1"/>
  </cols>
  <sheetData>
    <row r="1" spans="1:10" s="272" customFormat="1" ht="75" customHeight="1">
      <c r="A1" s="562" t="s">
        <v>409</v>
      </c>
      <c r="B1" s="562"/>
      <c r="C1" s="562"/>
      <c r="D1" s="562"/>
      <c r="E1" s="562"/>
      <c r="F1" s="562"/>
      <c r="G1" s="562"/>
      <c r="H1" s="562"/>
      <c r="I1" s="562"/>
      <c r="J1" s="562"/>
    </row>
    <row r="2" spans="1:10" s="276" customFormat="1" ht="120" customHeight="1">
      <c r="A2" s="273" t="s">
        <v>154</v>
      </c>
      <c r="B2" s="273" t="s">
        <v>337</v>
      </c>
      <c r="C2" s="273" t="s">
        <v>338</v>
      </c>
      <c r="D2" s="273" t="s">
        <v>339</v>
      </c>
      <c r="E2" s="274" t="s">
        <v>340</v>
      </c>
      <c r="F2" s="273" t="s">
        <v>341</v>
      </c>
      <c r="G2" s="273" t="s">
        <v>342</v>
      </c>
      <c r="H2" s="273" t="s">
        <v>343</v>
      </c>
      <c r="I2" s="274" t="s">
        <v>344</v>
      </c>
      <c r="J2" s="275" t="s">
        <v>345</v>
      </c>
    </row>
    <row r="3" spans="1:12" ht="15.75">
      <c r="A3" s="368" t="s">
        <v>60</v>
      </c>
      <c r="B3" s="369">
        <v>198</v>
      </c>
      <c r="C3" s="370">
        <v>175</v>
      </c>
      <c r="D3" s="370">
        <f aca="true" t="shared" si="0" ref="D3:D22">E3-C3</f>
        <v>233</v>
      </c>
      <c r="E3" s="371">
        <v>408</v>
      </c>
      <c r="F3" s="372">
        <f aca="true" t="shared" si="1" ref="F3:F23">E3/$E$23</f>
        <v>0.24742268041237114</v>
      </c>
      <c r="G3" s="373">
        <v>48327</v>
      </c>
      <c r="H3" s="370">
        <v>17740</v>
      </c>
      <c r="I3" s="374">
        <f aca="true" t="shared" si="2" ref="I3:I22">G3+H3</f>
        <v>66067</v>
      </c>
      <c r="J3" s="372">
        <f aca="true" t="shared" si="3" ref="J3:J23">I3/$I$23</f>
        <v>0.22133888129506044</v>
      </c>
      <c r="K3" s="283"/>
      <c r="L3" s="283"/>
    </row>
    <row r="4" spans="1:12" ht="15.75">
      <c r="A4" s="368" t="s">
        <v>78</v>
      </c>
      <c r="B4" s="369">
        <v>56</v>
      </c>
      <c r="C4" s="370">
        <v>46</v>
      </c>
      <c r="D4" s="370">
        <f t="shared" si="0"/>
        <v>71</v>
      </c>
      <c r="E4" s="371">
        <v>117</v>
      </c>
      <c r="F4" s="372">
        <f t="shared" si="1"/>
        <v>0.07095209217707701</v>
      </c>
      <c r="G4" s="373">
        <v>14542</v>
      </c>
      <c r="H4" s="370">
        <v>5132</v>
      </c>
      <c r="I4" s="374">
        <f t="shared" si="2"/>
        <v>19674</v>
      </c>
      <c r="J4" s="372">
        <f t="shared" si="3"/>
        <v>0.0659121974752754</v>
      </c>
      <c r="K4" s="283"/>
      <c r="L4" s="283"/>
    </row>
    <row r="5" spans="1:12" ht="15.75">
      <c r="A5" s="368" t="s">
        <v>80</v>
      </c>
      <c r="B5" s="369">
        <v>41</v>
      </c>
      <c r="C5" s="370">
        <v>31</v>
      </c>
      <c r="D5" s="370">
        <f t="shared" si="0"/>
        <v>36</v>
      </c>
      <c r="E5" s="371">
        <v>67</v>
      </c>
      <c r="F5" s="372">
        <f t="shared" si="1"/>
        <v>0.04063068526379624</v>
      </c>
      <c r="G5" s="373">
        <v>5472</v>
      </c>
      <c r="H5" s="370">
        <v>1814</v>
      </c>
      <c r="I5" s="374">
        <f t="shared" si="2"/>
        <v>7286</v>
      </c>
      <c r="J5" s="372">
        <f t="shared" si="3"/>
        <v>0.024409691511886576</v>
      </c>
      <c r="K5" s="283"/>
      <c r="L5" s="283"/>
    </row>
    <row r="6" spans="1:12" ht="15.75">
      <c r="A6" s="368" t="s">
        <v>87</v>
      </c>
      <c r="B6" s="369">
        <v>5</v>
      </c>
      <c r="C6" s="370">
        <v>3</v>
      </c>
      <c r="D6" s="370">
        <f t="shared" si="0"/>
        <v>6</v>
      </c>
      <c r="E6" s="371">
        <v>9</v>
      </c>
      <c r="F6" s="372">
        <f t="shared" si="1"/>
        <v>0.005457853244390539</v>
      </c>
      <c r="G6" s="373">
        <v>554</v>
      </c>
      <c r="H6" s="370">
        <v>185</v>
      </c>
      <c r="I6" s="374">
        <f t="shared" si="2"/>
        <v>739</v>
      </c>
      <c r="J6" s="372">
        <f t="shared" si="3"/>
        <v>0.0024758114229047733</v>
      </c>
      <c r="K6" s="283"/>
      <c r="L6" s="283"/>
    </row>
    <row r="7" spans="1:12" ht="15.75">
      <c r="A7" s="368" t="s">
        <v>90</v>
      </c>
      <c r="B7" s="369">
        <v>23</v>
      </c>
      <c r="C7" s="370">
        <v>19</v>
      </c>
      <c r="D7" s="370">
        <f t="shared" si="0"/>
        <v>35</v>
      </c>
      <c r="E7" s="371">
        <v>54</v>
      </c>
      <c r="F7" s="372">
        <f t="shared" si="1"/>
        <v>0.03274711946634324</v>
      </c>
      <c r="G7" s="373">
        <v>8539</v>
      </c>
      <c r="H7" s="370">
        <v>3170</v>
      </c>
      <c r="I7" s="374">
        <f t="shared" si="2"/>
        <v>11709</v>
      </c>
      <c r="J7" s="372">
        <f t="shared" si="3"/>
        <v>0.03922770764653855</v>
      </c>
      <c r="K7" s="283"/>
      <c r="L7" s="283"/>
    </row>
    <row r="8" spans="1:12" ht="15.75">
      <c r="A8" s="368" t="s">
        <v>91</v>
      </c>
      <c r="B8" s="369">
        <v>46</v>
      </c>
      <c r="C8" s="370">
        <v>26</v>
      </c>
      <c r="D8" s="370">
        <f t="shared" si="0"/>
        <v>25</v>
      </c>
      <c r="E8" s="371">
        <v>51</v>
      </c>
      <c r="F8" s="372">
        <f t="shared" si="1"/>
        <v>0.030927835051546393</v>
      </c>
      <c r="G8" s="373">
        <v>4461</v>
      </c>
      <c r="H8" s="370">
        <v>1437</v>
      </c>
      <c r="I8" s="374">
        <f t="shared" si="2"/>
        <v>5898</v>
      </c>
      <c r="J8" s="372">
        <f t="shared" si="3"/>
        <v>0.0197595883251588</v>
      </c>
      <c r="K8" s="283"/>
      <c r="L8" s="283"/>
    </row>
    <row r="9" spans="1:12" ht="15.75">
      <c r="A9" s="368" t="s">
        <v>159</v>
      </c>
      <c r="B9" s="369">
        <v>17</v>
      </c>
      <c r="C9" s="370">
        <v>10</v>
      </c>
      <c r="D9" s="370">
        <f t="shared" si="0"/>
        <v>30</v>
      </c>
      <c r="E9" s="371">
        <v>40</v>
      </c>
      <c r="F9" s="372">
        <f t="shared" si="1"/>
        <v>0.02425712553062462</v>
      </c>
      <c r="G9" s="373">
        <v>3463</v>
      </c>
      <c r="H9" s="370">
        <v>662</v>
      </c>
      <c r="I9" s="374">
        <f t="shared" si="2"/>
        <v>4125</v>
      </c>
      <c r="J9" s="372">
        <f t="shared" si="3"/>
        <v>0.01381965104124789</v>
      </c>
      <c r="K9" s="283"/>
      <c r="L9" s="283"/>
    </row>
    <row r="10" spans="1:12" ht="15.75">
      <c r="A10" s="368" t="s">
        <v>160</v>
      </c>
      <c r="B10" s="369">
        <v>25</v>
      </c>
      <c r="C10" s="370">
        <v>21</v>
      </c>
      <c r="D10" s="370">
        <f t="shared" si="0"/>
        <v>17</v>
      </c>
      <c r="E10" s="371">
        <v>38</v>
      </c>
      <c r="F10" s="372">
        <f t="shared" si="1"/>
        <v>0.02304426925409339</v>
      </c>
      <c r="G10" s="373">
        <v>4558</v>
      </c>
      <c r="H10" s="370">
        <v>1505</v>
      </c>
      <c r="I10" s="374">
        <f t="shared" si="2"/>
        <v>6063</v>
      </c>
      <c r="J10" s="372">
        <f t="shared" si="3"/>
        <v>0.020312374366808716</v>
      </c>
      <c r="K10" s="283"/>
      <c r="L10" s="283"/>
    </row>
    <row r="11" spans="1:12" ht="15.75">
      <c r="A11" s="368" t="s">
        <v>101</v>
      </c>
      <c r="B11" s="369">
        <v>114</v>
      </c>
      <c r="C11" s="370">
        <v>100</v>
      </c>
      <c r="D11" s="370">
        <f t="shared" si="0"/>
        <v>165</v>
      </c>
      <c r="E11" s="371">
        <v>265</v>
      </c>
      <c r="F11" s="372">
        <f t="shared" si="1"/>
        <v>0.16070345664038813</v>
      </c>
      <c r="G11" s="373">
        <v>48943</v>
      </c>
      <c r="H11" s="370">
        <v>21094</v>
      </c>
      <c r="I11" s="374">
        <f t="shared" si="2"/>
        <v>70037</v>
      </c>
      <c r="J11" s="372">
        <f t="shared" si="3"/>
        <v>0.23463924847900083</v>
      </c>
      <c r="K11" s="283"/>
      <c r="L11" s="283"/>
    </row>
    <row r="12" spans="1:12" ht="15.75">
      <c r="A12" s="368" t="s">
        <v>106</v>
      </c>
      <c r="B12" s="369">
        <v>107</v>
      </c>
      <c r="C12" s="370">
        <v>79</v>
      </c>
      <c r="D12" s="370">
        <f t="shared" si="0"/>
        <v>123</v>
      </c>
      <c r="E12" s="371">
        <v>202</v>
      </c>
      <c r="F12" s="372">
        <f t="shared" si="1"/>
        <v>0.12249848392965433</v>
      </c>
      <c r="G12" s="373">
        <v>27912</v>
      </c>
      <c r="H12" s="370">
        <v>9078</v>
      </c>
      <c r="I12" s="374">
        <f t="shared" si="2"/>
        <v>36990</v>
      </c>
      <c r="J12" s="372">
        <f t="shared" si="3"/>
        <v>0.12392457988260834</v>
      </c>
      <c r="K12" s="283"/>
      <c r="L12" s="283"/>
    </row>
    <row r="13" spans="1:12" ht="15.75">
      <c r="A13" s="368" t="s">
        <v>111</v>
      </c>
      <c r="B13" s="369">
        <v>62</v>
      </c>
      <c r="C13" s="370">
        <v>51</v>
      </c>
      <c r="D13" s="370">
        <f t="shared" si="0"/>
        <v>59</v>
      </c>
      <c r="E13" s="371">
        <v>110</v>
      </c>
      <c r="F13" s="372">
        <f t="shared" si="1"/>
        <v>0.0667070952092177</v>
      </c>
      <c r="G13" s="373">
        <v>11648</v>
      </c>
      <c r="H13" s="370">
        <v>3182</v>
      </c>
      <c r="I13" s="374">
        <f t="shared" si="2"/>
        <v>14830</v>
      </c>
      <c r="J13" s="372">
        <f t="shared" si="3"/>
        <v>0.049683739379807565</v>
      </c>
      <c r="K13" s="283"/>
      <c r="L13" s="283"/>
    </row>
    <row r="14" spans="1:12" ht="15.75">
      <c r="A14" s="368" t="s">
        <v>115</v>
      </c>
      <c r="B14" s="369">
        <v>12</v>
      </c>
      <c r="C14" s="370">
        <v>8</v>
      </c>
      <c r="D14" s="370">
        <f t="shared" si="0"/>
        <v>9</v>
      </c>
      <c r="E14" s="371">
        <v>17</v>
      </c>
      <c r="F14" s="372">
        <f t="shared" si="1"/>
        <v>0.010309278350515464</v>
      </c>
      <c r="G14" s="373">
        <v>1848</v>
      </c>
      <c r="H14" s="370">
        <v>557</v>
      </c>
      <c r="I14" s="374">
        <f t="shared" si="2"/>
        <v>2405</v>
      </c>
      <c r="J14" s="372">
        <f t="shared" si="3"/>
        <v>0.008057275334351799</v>
      </c>
      <c r="K14" s="283"/>
      <c r="L14" s="283"/>
    </row>
    <row r="15" spans="1:12" ht="15.75">
      <c r="A15" s="368" t="s">
        <v>120</v>
      </c>
      <c r="B15" s="369">
        <v>24</v>
      </c>
      <c r="C15" s="370">
        <v>17</v>
      </c>
      <c r="D15" s="370">
        <f t="shared" si="0"/>
        <v>54</v>
      </c>
      <c r="E15" s="371">
        <v>71</v>
      </c>
      <c r="F15" s="372">
        <f t="shared" si="1"/>
        <v>0.0430563978168587</v>
      </c>
      <c r="G15" s="373">
        <v>5833</v>
      </c>
      <c r="H15" s="370">
        <v>2243</v>
      </c>
      <c r="I15" s="374">
        <f t="shared" si="2"/>
        <v>8076</v>
      </c>
      <c r="J15" s="372">
        <f t="shared" si="3"/>
        <v>0.027056364074937687</v>
      </c>
      <c r="K15" s="283"/>
      <c r="L15" s="283"/>
    </row>
    <row r="16" spans="1:12" ht="15.75">
      <c r="A16" s="368" t="s">
        <v>127</v>
      </c>
      <c r="B16" s="369">
        <v>51</v>
      </c>
      <c r="C16" s="370">
        <v>43</v>
      </c>
      <c r="D16" s="370">
        <f t="shared" si="0"/>
        <v>58</v>
      </c>
      <c r="E16" s="371">
        <v>101</v>
      </c>
      <c r="F16" s="372">
        <f t="shared" si="1"/>
        <v>0.061249241964827165</v>
      </c>
      <c r="G16" s="373">
        <v>18282</v>
      </c>
      <c r="H16" s="370">
        <v>6800</v>
      </c>
      <c r="I16" s="374">
        <f t="shared" si="2"/>
        <v>25082</v>
      </c>
      <c r="J16" s="372">
        <f t="shared" si="3"/>
        <v>0.08403017876765564</v>
      </c>
      <c r="K16" s="283"/>
      <c r="L16" s="283"/>
    </row>
    <row r="17" spans="1:12" ht="15.75">
      <c r="A17" s="368" t="s">
        <v>133</v>
      </c>
      <c r="B17" s="369">
        <v>38</v>
      </c>
      <c r="C17" s="370">
        <v>36</v>
      </c>
      <c r="D17" s="370">
        <f t="shared" si="0"/>
        <v>45</v>
      </c>
      <c r="E17" s="371">
        <v>81</v>
      </c>
      <c r="F17" s="372">
        <f t="shared" si="1"/>
        <v>0.049120679199514856</v>
      </c>
      <c r="G17" s="373">
        <v>13310</v>
      </c>
      <c r="H17" s="370">
        <v>4724</v>
      </c>
      <c r="I17" s="374">
        <f t="shared" si="2"/>
        <v>18034</v>
      </c>
      <c r="J17" s="372">
        <f t="shared" si="3"/>
        <v>0.06041783924311865</v>
      </c>
      <c r="K17" s="283"/>
      <c r="L17" s="283"/>
    </row>
    <row r="18" spans="1:12" ht="15.75">
      <c r="A18" s="368" t="s">
        <v>137</v>
      </c>
      <c r="B18" s="369">
        <v>2</v>
      </c>
      <c r="C18" s="370">
        <v>1</v>
      </c>
      <c r="D18" s="370">
        <f t="shared" si="0"/>
        <v>6</v>
      </c>
      <c r="E18" s="371">
        <v>7</v>
      </c>
      <c r="F18" s="372">
        <f t="shared" si="1"/>
        <v>0.004244996967859308</v>
      </c>
      <c r="G18" s="373">
        <v>280</v>
      </c>
      <c r="H18" s="370">
        <v>65</v>
      </c>
      <c r="I18" s="374">
        <f t="shared" si="2"/>
        <v>345</v>
      </c>
      <c r="J18" s="372">
        <f t="shared" si="3"/>
        <v>0.00115582535981346</v>
      </c>
      <c r="K18" s="283"/>
      <c r="L18" s="283"/>
    </row>
    <row r="19" spans="1:12" ht="15.75">
      <c r="A19" s="368" t="s">
        <v>141</v>
      </c>
      <c r="B19" s="369">
        <v>0</v>
      </c>
      <c r="C19" s="370">
        <v>0</v>
      </c>
      <c r="D19" s="370">
        <f t="shared" si="0"/>
        <v>0</v>
      </c>
      <c r="E19" s="371">
        <v>0</v>
      </c>
      <c r="F19" s="372">
        <f t="shared" si="1"/>
        <v>0</v>
      </c>
      <c r="G19" s="373">
        <v>0</v>
      </c>
      <c r="H19" s="370">
        <v>0</v>
      </c>
      <c r="I19" s="374">
        <f t="shared" si="2"/>
        <v>0</v>
      </c>
      <c r="J19" s="372">
        <f t="shared" si="3"/>
        <v>0</v>
      </c>
      <c r="K19" s="283"/>
      <c r="L19" s="283"/>
    </row>
    <row r="20" spans="1:12" ht="15.75">
      <c r="A20" s="368" t="s">
        <v>177</v>
      </c>
      <c r="B20" s="369">
        <v>1</v>
      </c>
      <c r="C20" s="370">
        <v>0</v>
      </c>
      <c r="D20" s="370">
        <f t="shared" si="0"/>
        <v>2</v>
      </c>
      <c r="E20" s="371">
        <v>2</v>
      </c>
      <c r="F20" s="372">
        <f t="shared" si="1"/>
        <v>0.001212856276531231</v>
      </c>
      <c r="G20" s="373">
        <v>198</v>
      </c>
      <c r="H20" s="370">
        <v>0</v>
      </c>
      <c r="I20" s="374">
        <f t="shared" si="2"/>
        <v>198</v>
      </c>
      <c r="J20" s="372">
        <f t="shared" si="3"/>
        <v>0.0006633432499798987</v>
      </c>
      <c r="K20" s="283"/>
      <c r="L20" s="283"/>
    </row>
    <row r="21" spans="1:12" ht="15.75">
      <c r="A21" s="368" t="s">
        <v>146</v>
      </c>
      <c r="B21" s="369">
        <v>12</v>
      </c>
      <c r="C21" s="370">
        <v>6</v>
      </c>
      <c r="D21" s="370">
        <f t="shared" si="0"/>
        <v>3</v>
      </c>
      <c r="E21" s="371">
        <v>9</v>
      </c>
      <c r="F21" s="372">
        <f t="shared" si="1"/>
        <v>0.005457853244390539</v>
      </c>
      <c r="G21" s="373">
        <v>725</v>
      </c>
      <c r="H21" s="370">
        <v>205</v>
      </c>
      <c r="I21" s="374">
        <f t="shared" si="2"/>
        <v>930</v>
      </c>
      <c r="J21" s="372">
        <f t="shared" si="3"/>
        <v>0.0031157031438449785</v>
      </c>
      <c r="K21" s="283"/>
      <c r="L21" s="283"/>
    </row>
    <row r="22" spans="1:12" ht="15.75">
      <c r="A22" s="368" t="s">
        <v>147</v>
      </c>
      <c r="B22" s="369">
        <v>0</v>
      </c>
      <c r="C22" s="370">
        <v>0</v>
      </c>
      <c r="D22" s="370">
        <f t="shared" si="0"/>
        <v>0</v>
      </c>
      <c r="E22" s="371">
        <v>0</v>
      </c>
      <c r="F22" s="372">
        <f t="shared" si="1"/>
        <v>0</v>
      </c>
      <c r="G22" s="373">
        <v>0</v>
      </c>
      <c r="H22" s="370">
        <v>0</v>
      </c>
      <c r="I22" s="374">
        <f t="shared" si="2"/>
        <v>0</v>
      </c>
      <c r="J22" s="372">
        <f t="shared" si="3"/>
        <v>0</v>
      </c>
      <c r="K22" s="283"/>
      <c r="L22" s="283"/>
    </row>
    <row r="23" spans="1:12" s="290" customFormat="1" ht="15.75">
      <c r="A23" s="375" t="s">
        <v>155</v>
      </c>
      <c r="B23" s="376">
        <f>SUM(B3:B22)</f>
        <v>834</v>
      </c>
      <c r="C23" s="376">
        <f>SUM(C3:C22)</f>
        <v>672</v>
      </c>
      <c r="D23" s="376">
        <f>SUM(D3:D22)</f>
        <v>977</v>
      </c>
      <c r="E23" s="376">
        <f>SUM(E3:E22)</f>
        <v>1649</v>
      </c>
      <c r="F23" s="377">
        <f t="shared" si="1"/>
        <v>1</v>
      </c>
      <c r="G23" s="378">
        <f>SUM(G3:G22)</f>
        <v>218895</v>
      </c>
      <c r="H23" s="376">
        <f>SUM(H3:H22)</f>
        <v>79593</v>
      </c>
      <c r="I23" s="378">
        <f>SUM(I3:I22)</f>
        <v>298488</v>
      </c>
      <c r="J23" s="377">
        <f t="shared" si="3"/>
        <v>1</v>
      </c>
      <c r="K23" s="289"/>
      <c r="L23" s="289"/>
    </row>
    <row r="24" ht="15.75">
      <c r="J24" s="367"/>
    </row>
  </sheetData>
  <mergeCells count="1">
    <mergeCell ref="A1:J1"/>
  </mergeCells>
  <printOptions/>
  <pageMargins left="0.75" right="0.75" top="1" bottom="1" header="0.4921259845" footer="0.4921259845"/>
  <pageSetup fitToHeight="1" fitToWidth="1"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codeName="Hárok23">
    <tabColor indexed="45"/>
    <pageSetUpPr fitToPage="1"/>
  </sheetPr>
  <dimension ref="A1:I20"/>
  <sheetViews>
    <sheetView workbookViewId="0" topLeftCell="A3">
      <selection activeCell="G20" sqref="G20"/>
    </sheetView>
  </sheetViews>
  <sheetFormatPr defaultColWidth="9.140625" defaultRowHeight="12.75"/>
  <cols>
    <col min="1" max="1" width="60.7109375" style="292" customWidth="1"/>
    <col min="2" max="7" width="15.7109375" style="292" customWidth="1"/>
    <col min="8" max="9" width="13.140625" style="292" bestFit="1" customWidth="1"/>
    <col min="10" max="16384" width="9.140625" style="292" customWidth="1"/>
  </cols>
  <sheetData>
    <row r="1" spans="1:7" ht="75" customHeight="1">
      <c r="A1" s="563" t="s">
        <v>410</v>
      </c>
      <c r="B1" s="563"/>
      <c r="C1" s="563"/>
      <c r="D1" s="563"/>
      <c r="E1" s="563"/>
      <c r="F1" s="563"/>
      <c r="G1" s="563"/>
    </row>
    <row r="2" spans="1:7" ht="120" customHeight="1">
      <c r="A2" s="293" t="s">
        <v>346</v>
      </c>
      <c r="B2" s="294" t="s">
        <v>347</v>
      </c>
      <c r="C2" s="273" t="s">
        <v>348</v>
      </c>
      <c r="D2" s="293" t="s">
        <v>349</v>
      </c>
      <c r="E2" s="293" t="s">
        <v>350</v>
      </c>
      <c r="F2" s="274" t="s">
        <v>351</v>
      </c>
      <c r="G2" s="273" t="s">
        <v>352</v>
      </c>
    </row>
    <row r="3" spans="1:9" ht="15.75">
      <c r="A3" s="295" t="s">
        <v>353</v>
      </c>
      <c r="B3" s="282">
        <v>42</v>
      </c>
      <c r="C3" s="280">
        <f aca="true" t="shared" si="0" ref="C3:C19">B3/$B$19</f>
        <v>0.025469981807155852</v>
      </c>
      <c r="D3" s="281">
        <v>4213</v>
      </c>
      <c r="E3" s="281">
        <v>1578</v>
      </c>
      <c r="F3" s="282">
        <f aca="true" t="shared" si="1" ref="F3:F18">D3+E3</f>
        <v>5791</v>
      </c>
      <c r="G3" s="280">
        <f aca="true" t="shared" si="2" ref="G3:G19">F3/$F$19</f>
        <v>0.019401114952694917</v>
      </c>
      <c r="H3" s="296"/>
      <c r="I3" s="296"/>
    </row>
    <row r="4" spans="1:9" ht="15.75">
      <c r="A4" s="295" t="s">
        <v>354</v>
      </c>
      <c r="B4" s="282">
        <v>58</v>
      </c>
      <c r="C4" s="280">
        <f t="shared" si="0"/>
        <v>0.0351728320194057</v>
      </c>
      <c r="D4" s="281">
        <v>7373</v>
      </c>
      <c r="E4" s="281">
        <v>2939</v>
      </c>
      <c r="F4" s="282">
        <f t="shared" si="1"/>
        <v>10312</v>
      </c>
      <c r="G4" s="280">
        <f t="shared" si="2"/>
        <v>0.034547452493902606</v>
      </c>
      <c r="H4" s="296"/>
      <c r="I4" s="296"/>
    </row>
    <row r="5" spans="1:9" ht="15.75">
      <c r="A5" s="295" t="s">
        <v>355</v>
      </c>
      <c r="B5" s="282">
        <v>72</v>
      </c>
      <c r="C5" s="280">
        <f t="shared" si="0"/>
        <v>0.043662825955124315</v>
      </c>
      <c r="D5" s="281">
        <v>8249</v>
      </c>
      <c r="E5" s="281">
        <v>2783</v>
      </c>
      <c r="F5" s="282">
        <f t="shared" si="1"/>
        <v>11032</v>
      </c>
      <c r="G5" s="280">
        <f t="shared" si="2"/>
        <v>0.03695960976655678</v>
      </c>
      <c r="H5" s="296"/>
      <c r="I5" s="296"/>
    </row>
    <row r="6" spans="1:9" ht="15.75">
      <c r="A6" s="295" t="s">
        <v>356</v>
      </c>
      <c r="B6" s="282">
        <v>110</v>
      </c>
      <c r="C6" s="280">
        <f t="shared" si="0"/>
        <v>0.0667070952092177</v>
      </c>
      <c r="D6" s="281">
        <v>23544</v>
      </c>
      <c r="E6" s="281">
        <v>9114</v>
      </c>
      <c r="F6" s="282">
        <f t="shared" si="1"/>
        <v>32658</v>
      </c>
      <c r="G6" s="280">
        <f t="shared" si="2"/>
        <v>0.10941143362547238</v>
      </c>
      <c r="H6" s="296"/>
      <c r="I6" s="296"/>
    </row>
    <row r="7" spans="1:9" ht="31.5">
      <c r="A7" s="295" t="s">
        <v>357</v>
      </c>
      <c r="B7" s="282">
        <v>214</v>
      </c>
      <c r="C7" s="280">
        <f t="shared" si="0"/>
        <v>0.12977562158884173</v>
      </c>
      <c r="D7" s="281">
        <v>29053</v>
      </c>
      <c r="E7" s="281">
        <v>11402</v>
      </c>
      <c r="F7" s="282">
        <f t="shared" si="1"/>
        <v>40455</v>
      </c>
      <c r="G7" s="280">
        <f t="shared" si="2"/>
        <v>0.13553308675725656</v>
      </c>
      <c r="H7" s="296"/>
      <c r="I7" s="296"/>
    </row>
    <row r="8" spans="1:9" ht="31.5">
      <c r="A8" s="295" t="s">
        <v>358</v>
      </c>
      <c r="B8" s="282">
        <v>134</v>
      </c>
      <c r="C8" s="280">
        <f t="shared" si="0"/>
        <v>0.08126137052759248</v>
      </c>
      <c r="D8" s="281">
        <v>18169</v>
      </c>
      <c r="E8" s="281">
        <v>6912</v>
      </c>
      <c r="F8" s="282">
        <f t="shared" si="1"/>
        <v>25081</v>
      </c>
      <c r="G8" s="280">
        <f t="shared" si="2"/>
        <v>0.0840268285492214</v>
      </c>
      <c r="H8" s="296"/>
      <c r="I8" s="296"/>
    </row>
    <row r="9" spans="1:9" ht="15.75">
      <c r="A9" s="295" t="s">
        <v>359</v>
      </c>
      <c r="B9" s="282">
        <v>145</v>
      </c>
      <c r="C9" s="280">
        <f t="shared" si="0"/>
        <v>0.08793208004851426</v>
      </c>
      <c r="D9" s="281">
        <v>19538</v>
      </c>
      <c r="E9" s="281">
        <v>6384</v>
      </c>
      <c r="F9" s="282">
        <f t="shared" si="1"/>
        <v>25922</v>
      </c>
      <c r="G9" s="280">
        <f t="shared" si="2"/>
        <v>0.08684436225241886</v>
      </c>
      <c r="H9" s="296"/>
      <c r="I9" s="296"/>
    </row>
    <row r="10" spans="1:9" ht="15.75">
      <c r="A10" s="295" t="s">
        <v>360</v>
      </c>
      <c r="B10" s="282">
        <v>39</v>
      </c>
      <c r="C10" s="280">
        <f t="shared" si="0"/>
        <v>0.023650697392359005</v>
      </c>
      <c r="D10" s="281">
        <v>5514</v>
      </c>
      <c r="E10" s="281">
        <v>2156</v>
      </c>
      <c r="F10" s="282">
        <f t="shared" si="1"/>
        <v>7670</v>
      </c>
      <c r="G10" s="280">
        <f t="shared" si="2"/>
        <v>0.02569617539063547</v>
      </c>
      <c r="H10" s="296"/>
      <c r="I10" s="296"/>
    </row>
    <row r="11" spans="1:9" ht="15.75">
      <c r="A11" s="295" t="s">
        <v>361</v>
      </c>
      <c r="B11" s="282">
        <v>81</v>
      </c>
      <c r="C11" s="280">
        <f t="shared" si="0"/>
        <v>0.049120679199514856</v>
      </c>
      <c r="D11" s="281">
        <v>10512</v>
      </c>
      <c r="E11" s="281">
        <v>3720</v>
      </c>
      <c r="F11" s="282">
        <f t="shared" si="1"/>
        <v>14232</v>
      </c>
      <c r="G11" s="280">
        <f t="shared" si="2"/>
        <v>0.0476803087561309</v>
      </c>
      <c r="H11" s="296"/>
      <c r="I11" s="296"/>
    </row>
    <row r="12" spans="1:9" ht="31.5">
      <c r="A12" s="295" t="s">
        <v>362</v>
      </c>
      <c r="B12" s="282">
        <v>217</v>
      </c>
      <c r="C12" s="280">
        <f t="shared" si="0"/>
        <v>0.13159490600363857</v>
      </c>
      <c r="D12" s="281">
        <v>39687</v>
      </c>
      <c r="E12" s="281">
        <v>14956</v>
      </c>
      <c r="F12" s="282">
        <f t="shared" si="1"/>
        <v>54643</v>
      </c>
      <c r="G12" s="280">
        <f t="shared" si="2"/>
        <v>0.18306598590228082</v>
      </c>
      <c r="H12" s="296"/>
      <c r="I12" s="296"/>
    </row>
    <row r="13" spans="1:9" ht="15.75">
      <c r="A13" s="295" t="s">
        <v>363</v>
      </c>
      <c r="B13" s="282">
        <v>73</v>
      </c>
      <c r="C13" s="280">
        <f t="shared" si="0"/>
        <v>0.044269254093389936</v>
      </c>
      <c r="D13" s="281">
        <v>14772</v>
      </c>
      <c r="E13" s="281">
        <v>5927</v>
      </c>
      <c r="F13" s="282">
        <f t="shared" si="1"/>
        <v>20699</v>
      </c>
      <c r="G13" s="280">
        <f t="shared" si="2"/>
        <v>0.06934617137037336</v>
      </c>
      <c r="H13" s="296"/>
      <c r="I13" s="296"/>
    </row>
    <row r="14" spans="1:9" ht="31.5">
      <c r="A14" s="295" t="s">
        <v>364</v>
      </c>
      <c r="B14" s="282">
        <v>58</v>
      </c>
      <c r="C14" s="280">
        <f t="shared" si="0"/>
        <v>0.0351728320194057</v>
      </c>
      <c r="D14" s="281">
        <v>5479</v>
      </c>
      <c r="E14" s="281">
        <v>1764</v>
      </c>
      <c r="F14" s="282">
        <f t="shared" si="1"/>
        <v>7243</v>
      </c>
      <c r="G14" s="280">
        <f t="shared" si="2"/>
        <v>0.024265632119214172</v>
      </c>
      <c r="H14" s="296"/>
      <c r="I14" s="296"/>
    </row>
    <row r="15" spans="1:9" ht="31.5">
      <c r="A15" s="295" t="s">
        <v>365</v>
      </c>
      <c r="B15" s="282">
        <v>93</v>
      </c>
      <c r="C15" s="280">
        <f t="shared" si="0"/>
        <v>0.056397816858702245</v>
      </c>
      <c r="D15" s="281">
        <v>8411</v>
      </c>
      <c r="E15" s="281">
        <v>2573</v>
      </c>
      <c r="F15" s="282">
        <f t="shared" si="1"/>
        <v>10984</v>
      </c>
      <c r="G15" s="280">
        <f t="shared" si="2"/>
        <v>0.03679879928171317</v>
      </c>
      <c r="H15" s="296"/>
      <c r="I15" s="296"/>
    </row>
    <row r="16" spans="1:9" ht="15.75">
      <c r="A16" s="295" t="s">
        <v>366</v>
      </c>
      <c r="B16" s="282">
        <v>47</v>
      </c>
      <c r="C16" s="280">
        <f t="shared" si="0"/>
        <v>0.02850212249848393</v>
      </c>
      <c r="D16" s="281">
        <v>2368</v>
      </c>
      <c r="E16" s="281">
        <v>711</v>
      </c>
      <c r="F16" s="282">
        <f t="shared" si="1"/>
        <v>3079</v>
      </c>
      <c r="G16" s="280">
        <f t="shared" si="2"/>
        <v>0.01031532255903085</v>
      </c>
      <c r="H16" s="296"/>
      <c r="I16" s="296"/>
    </row>
    <row r="17" spans="1:9" ht="15.75">
      <c r="A17" s="295" t="s">
        <v>367</v>
      </c>
      <c r="B17" s="282">
        <v>85</v>
      </c>
      <c r="C17" s="280">
        <f t="shared" si="0"/>
        <v>0.05154639175257732</v>
      </c>
      <c r="D17" s="281">
        <v>4982</v>
      </c>
      <c r="E17" s="281">
        <v>1450</v>
      </c>
      <c r="F17" s="282">
        <f t="shared" si="1"/>
        <v>6432</v>
      </c>
      <c r="G17" s="280">
        <f t="shared" si="2"/>
        <v>0.021548604969043983</v>
      </c>
      <c r="H17" s="296"/>
      <c r="I17" s="296"/>
    </row>
    <row r="18" spans="1:9" ht="15.75">
      <c r="A18" s="295" t="s">
        <v>368</v>
      </c>
      <c r="B18" s="282">
        <v>181</v>
      </c>
      <c r="C18" s="280">
        <f t="shared" si="0"/>
        <v>0.10976349302607641</v>
      </c>
      <c r="D18" s="281">
        <v>17031</v>
      </c>
      <c r="E18" s="281">
        <v>5224</v>
      </c>
      <c r="F18" s="282">
        <f t="shared" si="1"/>
        <v>22255</v>
      </c>
      <c r="G18" s="280">
        <f t="shared" si="2"/>
        <v>0.07455911125405376</v>
      </c>
      <c r="H18" s="296"/>
      <c r="I18" s="296"/>
    </row>
    <row r="19" spans="1:9" ht="15.75">
      <c r="A19" s="297" t="s">
        <v>155</v>
      </c>
      <c r="B19" s="288">
        <f>SUM(B3:B18)</f>
        <v>1649</v>
      </c>
      <c r="C19" s="287">
        <f t="shared" si="0"/>
        <v>1</v>
      </c>
      <c r="D19" s="288">
        <f>SUM(D3:D18)</f>
        <v>218895</v>
      </c>
      <c r="E19" s="288">
        <f>SUM(E3:E18)</f>
        <v>79593</v>
      </c>
      <c r="F19" s="288">
        <f>SUM(F3:F18)</f>
        <v>298488</v>
      </c>
      <c r="G19" s="287">
        <f t="shared" si="2"/>
        <v>1</v>
      </c>
      <c r="H19" s="296"/>
      <c r="I19" s="296"/>
    </row>
    <row r="20" ht="15.75">
      <c r="G20" s="367"/>
    </row>
  </sheetData>
  <mergeCells count="1">
    <mergeCell ref="A1:G1"/>
  </mergeCells>
  <printOptions/>
  <pageMargins left="0.75" right="0.75" top="1" bottom="1" header="0.4921259845" footer="0.4921259845"/>
  <pageSetup fitToHeight="1" fitToWidth="1" horizontalDpi="600" verticalDpi="600" orientation="landscape" paperSize="9" scale="84" r:id="rId1"/>
</worksheet>
</file>

<file path=xl/worksheets/sheet19.xml><?xml version="1.0" encoding="utf-8"?>
<worksheet xmlns="http://schemas.openxmlformats.org/spreadsheetml/2006/main" xmlns:r="http://schemas.openxmlformats.org/officeDocument/2006/relationships">
  <sheetPr codeName="Hárok24">
    <tabColor indexed="45"/>
    <pageSetUpPr fitToPage="1"/>
  </sheetPr>
  <dimension ref="A1:L24"/>
  <sheetViews>
    <sheetView workbookViewId="0" topLeftCell="A2">
      <selection activeCell="J24" sqref="J24"/>
    </sheetView>
  </sheetViews>
  <sheetFormatPr defaultColWidth="9.140625" defaultRowHeight="12.75"/>
  <cols>
    <col min="1" max="1" width="25.7109375" style="298" customWidth="1"/>
    <col min="2" max="10" width="15.7109375" style="298" customWidth="1"/>
    <col min="11" max="11" width="33.00390625" style="298" customWidth="1"/>
    <col min="12" max="12" width="20.28125" style="298" bestFit="1" customWidth="1"/>
    <col min="13" max="13" width="32.140625" style="298" bestFit="1" customWidth="1"/>
    <col min="14" max="14" width="33.00390625" style="298" bestFit="1" customWidth="1"/>
    <col min="15" max="15" width="11.8515625" style="298" bestFit="1" customWidth="1"/>
    <col min="16" max="16" width="12.57421875" style="298" bestFit="1" customWidth="1"/>
    <col min="17" max="16384" width="9.140625" style="298" customWidth="1"/>
  </cols>
  <sheetData>
    <row r="1" spans="1:10" ht="75" customHeight="1">
      <c r="A1" s="564" t="s">
        <v>411</v>
      </c>
      <c r="B1" s="564"/>
      <c r="C1" s="564"/>
      <c r="D1" s="564"/>
      <c r="E1" s="564"/>
      <c r="F1" s="564"/>
      <c r="G1" s="564"/>
      <c r="H1" s="564"/>
      <c r="I1" s="564"/>
      <c r="J1" s="564"/>
    </row>
    <row r="2" spans="1:10" ht="135.75" customHeight="1">
      <c r="A2" s="273" t="s">
        <v>154</v>
      </c>
      <c r="B2" s="273" t="s">
        <v>337</v>
      </c>
      <c r="C2" s="273" t="s">
        <v>338</v>
      </c>
      <c r="D2" s="273" t="s">
        <v>339</v>
      </c>
      <c r="E2" s="274" t="s">
        <v>340</v>
      </c>
      <c r="F2" s="273" t="s">
        <v>341</v>
      </c>
      <c r="G2" s="273" t="s">
        <v>342</v>
      </c>
      <c r="H2" s="273" t="s">
        <v>343</v>
      </c>
      <c r="I2" s="274" t="s">
        <v>344</v>
      </c>
      <c r="J2" s="273" t="s">
        <v>345</v>
      </c>
    </row>
    <row r="3" spans="1:12" ht="15.75">
      <c r="A3" s="299" t="s">
        <v>60</v>
      </c>
      <c r="B3" s="300">
        <v>35</v>
      </c>
      <c r="C3" s="301">
        <v>13</v>
      </c>
      <c r="D3" s="300">
        <f aca="true" t="shared" si="0" ref="D3:D22">E3-C3</f>
        <v>29</v>
      </c>
      <c r="E3" s="302">
        <v>42</v>
      </c>
      <c r="F3" s="303">
        <f aca="true" t="shared" si="1" ref="F3:F23">E3/$E$23</f>
        <v>0.11538461538461539</v>
      </c>
      <c r="G3" s="278">
        <v>6871</v>
      </c>
      <c r="H3" s="278">
        <v>573</v>
      </c>
      <c r="I3" s="304">
        <f aca="true" t="shared" si="2" ref="I3:I22">G3+H3</f>
        <v>7444</v>
      </c>
      <c r="J3" s="303">
        <f aca="true" t="shared" si="3" ref="J3:J23">+I3/$I$23</f>
        <v>0.10634285714285714</v>
      </c>
      <c r="K3" s="305"/>
      <c r="L3" s="305"/>
    </row>
    <row r="4" spans="1:12" ht="15.75">
      <c r="A4" s="299" t="s">
        <v>78</v>
      </c>
      <c r="B4" s="300">
        <v>7</v>
      </c>
      <c r="C4" s="301">
        <v>6</v>
      </c>
      <c r="D4" s="300">
        <f t="shared" si="0"/>
        <v>9</v>
      </c>
      <c r="E4" s="302">
        <v>15</v>
      </c>
      <c r="F4" s="303">
        <f t="shared" si="1"/>
        <v>0.04120879120879121</v>
      </c>
      <c r="G4" s="278">
        <v>2203</v>
      </c>
      <c r="H4" s="278">
        <v>220</v>
      </c>
      <c r="I4" s="304">
        <f t="shared" si="2"/>
        <v>2423</v>
      </c>
      <c r="J4" s="303">
        <f t="shared" si="3"/>
        <v>0.034614285714285715</v>
      </c>
      <c r="K4" s="305"/>
      <c r="L4" s="305"/>
    </row>
    <row r="5" spans="1:12" ht="15.75">
      <c r="A5" s="299" t="s">
        <v>80</v>
      </c>
      <c r="B5" s="300">
        <v>12</v>
      </c>
      <c r="C5" s="301">
        <v>9</v>
      </c>
      <c r="D5" s="300">
        <f t="shared" si="0"/>
        <v>17</v>
      </c>
      <c r="E5" s="302">
        <v>26</v>
      </c>
      <c r="F5" s="303">
        <f t="shared" si="1"/>
        <v>0.07142857142857142</v>
      </c>
      <c r="G5" s="278">
        <v>3083</v>
      </c>
      <c r="H5" s="278">
        <v>265</v>
      </c>
      <c r="I5" s="304">
        <f t="shared" si="2"/>
        <v>3348</v>
      </c>
      <c r="J5" s="303">
        <f t="shared" si="3"/>
        <v>0.04782857142857143</v>
      </c>
      <c r="K5" s="305"/>
      <c r="L5" s="305"/>
    </row>
    <row r="6" spans="1:12" ht="15.75">
      <c r="A6" s="299" t="s">
        <v>87</v>
      </c>
      <c r="B6" s="300">
        <v>11</v>
      </c>
      <c r="C6" s="301">
        <v>7</v>
      </c>
      <c r="D6" s="300">
        <f t="shared" si="0"/>
        <v>1</v>
      </c>
      <c r="E6" s="302">
        <v>8</v>
      </c>
      <c r="F6" s="303">
        <f t="shared" si="1"/>
        <v>0.02197802197802198</v>
      </c>
      <c r="G6" s="278">
        <v>843</v>
      </c>
      <c r="H6" s="278">
        <v>0</v>
      </c>
      <c r="I6" s="304">
        <f t="shared" si="2"/>
        <v>843</v>
      </c>
      <c r="J6" s="303">
        <f t="shared" si="3"/>
        <v>0.012042857142857143</v>
      </c>
      <c r="K6" s="305"/>
      <c r="L6" s="305"/>
    </row>
    <row r="7" spans="1:12" ht="15.75">
      <c r="A7" s="299" t="s">
        <v>90</v>
      </c>
      <c r="B7" s="300">
        <v>3</v>
      </c>
      <c r="C7" s="301">
        <v>1</v>
      </c>
      <c r="D7" s="300">
        <f t="shared" si="0"/>
        <v>3</v>
      </c>
      <c r="E7" s="302">
        <v>4</v>
      </c>
      <c r="F7" s="303">
        <f t="shared" si="1"/>
        <v>0.01098901098901099</v>
      </c>
      <c r="G7" s="278">
        <v>348</v>
      </c>
      <c r="H7" s="278">
        <v>165</v>
      </c>
      <c r="I7" s="304">
        <f t="shared" si="2"/>
        <v>513</v>
      </c>
      <c r="J7" s="303">
        <f t="shared" si="3"/>
        <v>0.007328571428571428</v>
      </c>
      <c r="K7" s="305"/>
      <c r="L7" s="305"/>
    </row>
    <row r="8" spans="1:12" ht="15.75">
      <c r="A8" s="299" t="s">
        <v>91</v>
      </c>
      <c r="B8" s="300">
        <v>34</v>
      </c>
      <c r="C8" s="301">
        <v>19</v>
      </c>
      <c r="D8" s="300">
        <f t="shared" si="0"/>
        <v>22</v>
      </c>
      <c r="E8" s="302">
        <v>41</v>
      </c>
      <c r="F8" s="303">
        <f t="shared" si="1"/>
        <v>0.11263736263736264</v>
      </c>
      <c r="G8" s="278">
        <v>5750</v>
      </c>
      <c r="H8" s="278">
        <v>974</v>
      </c>
      <c r="I8" s="304">
        <f t="shared" si="2"/>
        <v>6724</v>
      </c>
      <c r="J8" s="303">
        <f t="shared" si="3"/>
        <v>0.09605714285714285</v>
      </c>
      <c r="K8" s="305"/>
      <c r="L8" s="305"/>
    </row>
    <row r="9" spans="1:12" ht="15.75">
      <c r="A9" s="299" t="s">
        <v>159</v>
      </c>
      <c r="B9" s="300">
        <v>14</v>
      </c>
      <c r="C9" s="301">
        <v>12</v>
      </c>
      <c r="D9" s="300">
        <f t="shared" si="0"/>
        <v>11</v>
      </c>
      <c r="E9" s="302">
        <v>23</v>
      </c>
      <c r="F9" s="303">
        <f t="shared" si="1"/>
        <v>0.06318681318681318</v>
      </c>
      <c r="G9" s="278">
        <v>3302</v>
      </c>
      <c r="H9" s="278">
        <v>498</v>
      </c>
      <c r="I9" s="304">
        <f t="shared" si="2"/>
        <v>3800</v>
      </c>
      <c r="J9" s="303">
        <f t="shared" si="3"/>
        <v>0.054285714285714284</v>
      </c>
      <c r="K9" s="305"/>
      <c r="L9" s="305"/>
    </row>
    <row r="10" spans="1:12" ht="15.75">
      <c r="A10" s="299" t="s">
        <v>160</v>
      </c>
      <c r="B10" s="300">
        <v>9</v>
      </c>
      <c r="C10" s="301">
        <v>4</v>
      </c>
      <c r="D10" s="300">
        <f t="shared" si="0"/>
        <v>11</v>
      </c>
      <c r="E10" s="302">
        <v>15</v>
      </c>
      <c r="F10" s="303">
        <f t="shared" si="1"/>
        <v>0.04120879120879121</v>
      </c>
      <c r="G10" s="278">
        <v>3542</v>
      </c>
      <c r="H10" s="278">
        <v>338</v>
      </c>
      <c r="I10" s="304">
        <f t="shared" si="2"/>
        <v>3880</v>
      </c>
      <c r="J10" s="303">
        <f t="shared" si="3"/>
        <v>0.05542857142857143</v>
      </c>
      <c r="K10" s="305"/>
      <c r="L10" s="305"/>
    </row>
    <row r="11" spans="1:12" ht="15.75">
      <c r="A11" s="299" t="s">
        <v>101</v>
      </c>
      <c r="B11" s="300">
        <v>29</v>
      </c>
      <c r="C11" s="301">
        <v>14</v>
      </c>
      <c r="D11" s="300">
        <f t="shared" si="0"/>
        <v>15</v>
      </c>
      <c r="E11" s="302">
        <v>29</v>
      </c>
      <c r="F11" s="303">
        <f t="shared" si="1"/>
        <v>0.07967032967032966</v>
      </c>
      <c r="G11" s="278">
        <v>7717</v>
      </c>
      <c r="H11" s="278">
        <v>2247</v>
      </c>
      <c r="I11" s="304">
        <f t="shared" si="2"/>
        <v>9964</v>
      </c>
      <c r="J11" s="303">
        <f t="shared" si="3"/>
        <v>0.14234285714285713</v>
      </c>
      <c r="K11" s="305"/>
      <c r="L11" s="305"/>
    </row>
    <row r="12" spans="1:12" ht="15.75">
      <c r="A12" s="299" t="s">
        <v>106</v>
      </c>
      <c r="B12" s="300">
        <v>39</v>
      </c>
      <c r="C12" s="301">
        <v>17</v>
      </c>
      <c r="D12" s="300">
        <f t="shared" si="0"/>
        <v>22</v>
      </c>
      <c r="E12" s="302">
        <v>39</v>
      </c>
      <c r="F12" s="303">
        <f t="shared" si="1"/>
        <v>0.10714285714285714</v>
      </c>
      <c r="G12" s="278">
        <v>6646</v>
      </c>
      <c r="H12" s="278">
        <v>1854</v>
      </c>
      <c r="I12" s="304">
        <f t="shared" si="2"/>
        <v>8500</v>
      </c>
      <c r="J12" s="303">
        <f t="shared" si="3"/>
        <v>0.12142857142857143</v>
      </c>
      <c r="K12" s="305"/>
      <c r="L12" s="305"/>
    </row>
    <row r="13" spans="1:12" ht="15.75">
      <c r="A13" s="299" t="s">
        <v>111</v>
      </c>
      <c r="B13" s="300">
        <v>48</v>
      </c>
      <c r="C13" s="301">
        <v>21</v>
      </c>
      <c r="D13" s="300">
        <f t="shared" si="0"/>
        <v>18</v>
      </c>
      <c r="E13" s="302">
        <v>39</v>
      </c>
      <c r="F13" s="303">
        <f t="shared" si="1"/>
        <v>0.10714285714285714</v>
      </c>
      <c r="G13" s="278">
        <v>5108</v>
      </c>
      <c r="H13" s="278">
        <v>1008</v>
      </c>
      <c r="I13" s="304">
        <f t="shared" si="2"/>
        <v>6116</v>
      </c>
      <c r="J13" s="303">
        <f t="shared" si="3"/>
        <v>0.08737142857142857</v>
      </c>
      <c r="K13" s="305"/>
      <c r="L13" s="305"/>
    </row>
    <row r="14" spans="1:12" ht="15.75">
      <c r="A14" s="299" t="s">
        <v>115</v>
      </c>
      <c r="B14" s="300">
        <v>6</v>
      </c>
      <c r="C14" s="301">
        <v>4</v>
      </c>
      <c r="D14" s="300">
        <f t="shared" si="0"/>
        <v>6</v>
      </c>
      <c r="E14" s="302">
        <v>10</v>
      </c>
      <c r="F14" s="303">
        <f t="shared" si="1"/>
        <v>0.027472527472527472</v>
      </c>
      <c r="G14" s="278">
        <v>1502</v>
      </c>
      <c r="H14" s="278">
        <v>128</v>
      </c>
      <c r="I14" s="304">
        <f t="shared" si="2"/>
        <v>1630</v>
      </c>
      <c r="J14" s="303">
        <f t="shared" si="3"/>
        <v>0.023285714285714285</v>
      </c>
      <c r="K14" s="305"/>
      <c r="L14" s="305"/>
    </row>
    <row r="15" spans="1:12" ht="15.75">
      <c r="A15" s="299" t="s">
        <v>120</v>
      </c>
      <c r="B15" s="300">
        <v>5</v>
      </c>
      <c r="C15" s="301">
        <v>3</v>
      </c>
      <c r="D15" s="300">
        <f t="shared" si="0"/>
        <v>4</v>
      </c>
      <c r="E15" s="302">
        <v>7</v>
      </c>
      <c r="F15" s="303">
        <f t="shared" si="1"/>
        <v>0.019230769230769232</v>
      </c>
      <c r="G15" s="278">
        <v>991</v>
      </c>
      <c r="H15" s="278">
        <v>170</v>
      </c>
      <c r="I15" s="304">
        <f t="shared" si="2"/>
        <v>1161</v>
      </c>
      <c r="J15" s="303">
        <f t="shared" si="3"/>
        <v>0.016585714285714287</v>
      </c>
      <c r="K15" s="305"/>
      <c r="L15" s="305"/>
    </row>
    <row r="16" spans="1:12" ht="15.75">
      <c r="A16" s="299" t="s">
        <v>127</v>
      </c>
      <c r="B16" s="300">
        <v>21</v>
      </c>
      <c r="C16" s="301">
        <v>12</v>
      </c>
      <c r="D16" s="300">
        <f t="shared" si="0"/>
        <v>6</v>
      </c>
      <c r="E16" s="302">
        <v>18</v>
      </c>
      <c r="F16" s="303">
        <f t="shared" si="1"/>
        <v>0.04945054945054945</v>
      </c>
      <c r="G16" s="278">
        <v>3023</v>
      </c>
      <c r="H16" s="278">
        <v>585</v>
      </c>
      <c r="I16" s="304">
        <f t="shared" si="2"/>
        <v>3608</v>
      </c>
      <c r="J16" s="303">
        <f t="shared" si="3"/>
        <v>0.05154285714285714</v>
      </c>
      <c r="K16" s="305"/>
      <c r="L16" s="305"/>
    </row>
    <row r="17" spans="1:12" ht="15.75">
      <c r="A17" s="299" t="s">
        <v>133</v>
      </c>
      <c r="B17" s="300">
        <v>4</v>
      </c>
      <c r="C17" s="301">
        <v>1</v>
      </c>
      <c r="D17" s="300">
        <f t="shared" si="0"/>
        <v>6</v>
      </c>
      <c r="E17" s="302">
        <v>7</v>
      </c>
      <c r="F17" s="303">
        <f t="shared" si="1"/>
        <v>0.019230769230769232</v>
      </c>
      <c r="G17" s="278">
        <v>1759</v>
      </c>
      <c r="H17" s="278">
        <v>225</v>
      </c>
      <c r="I17" s="304">
        <f t="shared" si="2"/>
        <v>1984</v>
      </c>
      <c r="J17" s="303">
        <f t="shared" si="3"/>
        <v>0.028342857142857142</v>
      </c>
      <c r="K17" s="305"/>
      <c r="L17" s="305"/>
    </row>
    <row r="18" spans="1:12" ht="15.75">
      <c r="A18" s="299" t="s">
        <v>137</v>
      </c>
      <c r="B18" s="300">
        <v>14</v>
      </c>
      <c r="C18" s="301">
        <v>7</v>
      </c>
      <c r="D18" s="300">
        <f t="shared" si="0"/>
        <v>7</v>
      </c>
      <c r="E18" s="302">
        <v>14</v>
      </c>
      <c r="F18" s="303">
        <f t="shared" si="1"/>
        <v>0.038461538461538464</v>
      </c>
      <c r="G18" s="278">
        <v>2728</v>
      </c>
      <c r="H18" s="278">
        <v>286</v>
      </c>
      <c r="I18" s="304">
        <f t="shared" si="2"/>
        <v>3014</v>
      </c>
      <c r="J18" s="303">
        <f t="shared" si="3"/>
        <v>0.043057142857142856</v>
      </c>
      <c r="K18" s="305"/>
      <c r="L18" s="305"/>
    </row>
    <row r="19" spans="1:12" ht="15.75">
      <c r="A19" s="299" t="s">
        <v>141</v>
      </c>
      <c r="B19" s="300">
        <v>9</v>
      </c>
      <c r="C19" s="301">
        <v>8</v>
      </c>
      <c r="D19" s="300">
        <f t="shared" si="0"/>
        <v>1</v>
      </c>
      <c r="E19" s="302">
        <v>9</v>
      </c>
      <c r="F19" s="303">
        <f t="shared" si="1"/>
        <v>0.024725274725274724</v>
      </c>
      <c r="G19" s="278">
        <v>1917</v>
      </c>
      <c r="H19" s="278">
        <v>115</v>
      </c>
      <c r="I19" s="304">
        <f t="shared" si="2"/>
        <v>2032</v>
      </c>
      <c r="J19" s="303">
        <f t="shared" si="3"/>
        <v>0.029028571428571428</v>
      </c>
      <c r="K19" s="305"/>
      <c r="L19" s="305"/>
    </row>
    <row r="20" spans="1:12" ht="15.75">
      <c r="A20" s="306" t="s">
        <v>177</v>
      </c>
      <c r="B20" s="300">
        <v>2</v>
      </c>
      <c r="C20" s="301">
        <v>1</v>
      </c>
      <c r="D20" s="300">
        <f t="shared" si="0"/>
        <v>1</v>
      </c>
      <c r="E20" s="302">
        <v>2</v>
      </c>
      <c r="F20" s="303">
        <f t="shared" si="1"/>
        <v>0.005494505494505495</v>
      </c>
      <c r="G20" s="278">
        <v>563</v>
      </c>
      <c r="H20" s="278">
        <v>0</v>
      </c>
      <c r="I20" s="304">
        <f t="shared" si="2"/>
        <v>563</v>
      </c>
      <c r="J20" s="303">
        <f t="shared" si="3"/>
        <v>0.008042857142857143</v>
      </c>
      <c r="K20" s="305"/>
      <c r="L20" s="305"/>
    </row>
    <row r="21" spans="1:12" ht="15.75">
      <c r="A21" s="277" t="s">
        <v>146</v>
      </c>
      <c r="B21" s="300">
        <v>13</v>
      </c>
      <c r="C21" s="301">
        <v>10</v>
      </c>
      <c r="D21" s="300">
        <f t="shared" si="0"/>
        <v>3</v>
      </c>
      <c r="E21" s="302">
        <v>13</v>
      </c>
      <c r="F21" s="303">
        <f t="shared" si="1"/>
        <v>0.03571428571428571</v>
      </c>
      <c r="G21" s="278">
        <v>1725</v>
      </c>
      <c r="H21" s="278">
        <v>98</v>
      </c>
      <c r="I21" s="304">
        <f t="shared" si="2"/>
        <v>1823</v>
      </c>
      <c r="J21" s="303">
        <f t="shared" si="3"/>
        <v>0.026042857142857142</v>
      </c>
      <c r="K21" s="305"/>
      <c r="L21" s="305"/>
    </row>
    <row r="22" spans="1:12" s="284" customFormat="1" ht="15.75">
      <c r="A22" s="277" t="s">
        <v>147</v>
      </c>
      <c r="B22" s="300">
        <v>2</v>
      </c>
      <c r="C22" s="301">
        <v>0</v>
      </c>
      <c r="D22" s="300">
        <f t="shared" si="0"/>
        <v>3</v>
      </c>
      <c r="E22" s="302">
        <v>3</v>
      </c>
      <c r="F22" s="303">
        <f t="shared" si="1"/>
        <v>0.008241758241758242</v>
      </c>
      <c r="G22" s="278">
        <v>379</v>
      </c>
      <c r="H22" s="278">
        <v>251</v>
      </c>
      <c r="I22" s="304">
        <f t="shared" si="2"/>
        <v>630</v>
      </c>
      <c r="J22" s="303">
        <f t="shared" si="3"/>
        <v>0.009</v>
      </c>
      <c r="K22" s="305"/>
      <c r="L22" s="305"/>
    </row>
    <row r="23" spans="1:10" s="311" customFormat="1" ht="15.75">
      <c r="A23" s="307" t="s">
        <v>155</v>
      </c>
      <c r="B23" s="308">
        <f>SUM(B3:B22)</f>
        <v>317</v>
      </c>
      <c r="C23" s="309">
        <f>SUM(C3:C22)</f>
        <v>169</v>
      </c>
      <c r="D23" s="309">
        <f>SUM(D3:D22)</f>
        <v>195</v>
      </c>
      <c r="E23" s="309">
        <f>SUM(E3:E22)</f>
        <v>364</v>
      </c>
      <c r="F23" s="310">
        <f t="shared" si="1"/>
        <v>1</v>
      </c>
      <c r="G23" s="309">
        <f>SUM(G3:G22)</f>
        <v>60000</v>
      </c>
      <c r="H23" s="309">
        <f>SUM(H3:H22)</f>
        <v>10000</v>
      </c>
      <c r="I23" s="309">
        <f>SUM(I3:I22)</f>
        <v>70000</v>
      </c>
      <c r="J23" s="310">
        <f t="shared" si="3"/>
        <v>1</v>
      </c>
    </row>
    <row r="24" ht="15.75">
      <c r="J24" s="291"/>
    </row>
  </sheetData>
  <mergeCells count="1">
    <mergeCell ref="A1:J1"/>
  </mergeCells>
  <printOptions/>
  <pageMargins left="0.75" right="0.75" top="1" bottom="1" header="0.4921259845" footer="0.4921259845"/>
  <pageSetup fitToHeight="1"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codeName="Hárok2">
    <tabColor indexed="42"/>
  </sheetPr>
  <dimension ref="A1:J36"/>
  <sheetViews>
    <sheetView zoomScaleSheetLayoutView="100" workbookViewId="0" topLeftCell="A1">
      <pane xSplit="1" ySplit="2" topLeftCell="B11" activePane="bottomRight" state="frozen"/>
      <selection pane="topLeft" activeCell="C12" sqref="C12"/>
      <selection pane="topRight" activeCell="C12" sqref="C12"/>
      <selection pane="bottomLeft" activeCell="C12" sqref="C12"/>
      <selection pane="bottomRight" activeCell="F34" sqref="F34"/>
    </sheetView>
  </sheetViews>
  <sheetFormatPr defaultColWidth="9.140625" defaultRowHeight="12.75"/>
  <cols>
    <col min="1" max="1" width="25.7109375" style="1" customWidth="1"/>
    <col min="2" max="10" width="15.7109375" style="1" customWidth="1"/>
    <col min="11" max="16384" width="9.140625" style="1" customWidth="1"/>
  </cols>
  <sheetData>
    <row r="1" spans="1:10" ht="75" customHeight="1">
      <c r="A1" s="568" t="s">
        <v>244</v>
      </c>
      <c r="B1" s="568"/>
      <c r="C1" s="568"/>
      <c r="D1" s="568"/>
      <c r="E1" s="568"/>
      <c r="F1" s="568"/>
      <c r="G1" s="568"/>
      <c r="H1" s="568"/>
      <c r="I1" s="568"/>
      <c r="J1" s="568"/>
    </row>
    <row r="2" spans="1:10" ht="90" customHeight="1">
      <c r="A2" s="131" t="s">
        <v>154</v>
      </c>
      <c r="B2" s="131" t="s">
        <v>191</v>
      </c>
      <c r="C2" s="131" t="s">
        <v>192</v>
      </c>
      <c r="D2" s="131" t="s">
        <v>193</v>
      </c>
      <c r="E2" s="131" t="s">
        <v>46</v>
      </c>
      <c r="F2" s="131" t="s">
        <v>47</v>
      </c>
      <c r="G2" s="131" t="s">
        <v>48</v>
      </c>
      <c r="H2" s="113" t="s">
        <v>34</v>
      </c>
      <c r="I2" s="103" t="s">
        <v>33</v>
      </c>
      <c r="J2" s="113" t="s">
        <v>27</v>
      </c>
    </row>
    <row r="3" spans="1:10" ht="15">
      <c r="A3" s="90" t="s">
        <v>60</v>
      </c>
      <c r="B3" s="134">
        <v>12510</v>
      </c>
      <c r="C3" s="134">
        <v>3123</v>
      </c>
      <c r="D3" s="135">
        <f aca="true" t="shared" si="0" ref="D3:D22">+B3+C3</f>
        <v>15633</v>
      </c>
      <c r="E3" s="139">
        <v>11106</v>
      </c>
      <c r="F3" s="139">
        <v>2918</v>
      </c>
      <c r="G3" s="135">
        <f aca="true" t="shared" si="1" ref="G3:G29">+E3+F3</f>
        <v>14024</v>
      </c>
      <c r="H3" s="136">
        <f aca="true" t="shared" si="2" ref="H3:H22">+E3-B3</f>
        <v>-1404</v>
      </c>
      <c r="I3" s="143">
        <f aca="true" t="shared" si="3" ref="I3:I22">+F3-C3</f>
        <v>-205</v>
      </c>
      <c r="J3" s="136">
        <f aca="true" t="shared" si="4" ref="J3:J29">+H3+I3</f>
        <v>-1609</v>
      </c>
    </row>
    <row r="4" spans="1:10" ht="15">
      <c r="A4" s="90" t="s">
        <v>78</v>
      </c>
      <c r="B4" s="134">
        <v>3069</v>
      </c>
      <c r="C4" s="134">
        <v>228</v>
      </c>
      <c r="D4" s="135">
        <f t="shared" si="0"/>
        <v>3297</v>
      </c>
      <c r="E4" s="139">
        <v>2958</v>
      </c>
      <c r="F4" s="139">
        <v>196</v>
      </c>
      <c r="G4" s="135">
        <f t="shared" si="1"/>
        <v>3154</v>
      </c>
      <c r="H4" s="136">
        <f t="shared" si="2"/>
        <v>-111</v>
      </c>
      <c r="I4" s="143">
        <f t="shared" si="3"/>
        <v>-32</v>
      </c>
      <c r="J4" s="136">
        <f t="shared" si="4"/>
        <v>-143</v>
      </c>
    </row>
    <row r="5" spans="1:10" ht="15.75" customHeight="1">
      <c r="A5" s="90" t="s">
        <v>80</v>
      </c>
      <c r="B5" s="134">
        <v>4445</v>
      </c>
      <c r="C5" s="134">
        <v>1657</v>
      </c>
      <c r="D5" s="135">
        <f t="shared" si="0"/>
        <v>6102</v>
      </c>
      <c r="E5" s="139">
        <v>3284</v>
      </c>
      <c r="F5" s="139">
        <v>1240</v>
      </c>
      <c r="G5" s="135">
        <f t="shared" si="1"/>
        <v>4524</v>
      </c>
      <c r="H5" s="136">
        <f t="shared" si="2"/>
        <v>-1161</v>
      </c>
      <c r="I5" s="143">
        <f t="shared" si="3"/>
        <v>-417</v>
      </c>
      <c r="J5" s="136">
        <f t="shared" si="4"/>
        <v>-1578</v>
      </c>
    </row>
    <row r="6" spans="1:10" ht="15">
      <c r="A6" s="90" t="s">
        <v>87</v>
      </c>
      <c r="B6" s="134">
        <v>1386</v>
      </c>
      <c r="C6" s="134">
        <v>524</v>
      </c>
      <c r="D6" s="135">
        <f t="shared" si="0"/>
        <v>1910</v>
      </c>
      <c r="E6" s="139">
        <v>1081</v>
      </c>
      <c r="F6" s="139">
        <v>534</v>
      </c>
      <c r="G6" s="135">
        <f t="shared" si="1"/>
        <v>1615</v>
      </c>
      <c r="H6" s="136">
        <f t="shared" si="2"/>
        <v>-305</v>
      </c>
      <c r="I6" s="143">
        <f t="shared" si="3"/>
        <v>10</v>
      </c>
      <c r="J6" s="136">
        <f t="shared" si="4"/>
        <v>-295</v>
      </c>
    </row>
    <row r="7" spans="1:10" ht="15">
      <c r="A7" s="90" t="s">
        <v>90</v>
      </c>
      <c r="B7" s="134">
        <v>752</v>
      </c>
      <c r="C7" s="134">
        <v>0</v>
      </c>
      <c r="D7" s="135">
        <f t="shared" si="0"/>
        <v>752</v>
      </c>
      <c r="E7" s="139">
        <v>872</v>
      </c>
      <c r="F7" s="139">
        <v>0</v>
      </c>
      <c r="G7" s="135">
        <f t="shared" si="1"/>
        <v>872</v>
      </c>
      <c r="H7" s="136">
        <f t="shared" si="2"/>
        <v>120</v>
      </c>
      <c r="I7" s="143">
        <f t="shared" si="3"/>
        <v>0</v>
      </c>
      <c r="J7" s="136">
        <f t="shared" si="4"/>
        <v>120</v>
      </c>
    </row>
    <row r="8" spans="1:10" ht="15">
      <c r="A8" s="90" t="s">
        <v>91</v>
      </c>
      <c r="B8" s="134">
        <v>4330</v>
      </c>
      <c r="C8" s="134">
        <v>2396</v>
      </c>
      <c r="D8" s="135">
        <f t="shared" si="0"/>
        <v>6726</v>
      </c>
      <c r="E8" s="139">
        <v>3169</v>
      </c>
      <c r="F8" s="139">
        <v>2143</v>
      </c>
      <c r="G8" s="135">
        <f t="shared" si="1"/>
        <v>5312</v>
      </c>
      <c r="H8" s="136">
        <f t="shared" si="2"/>
        <v>-1161</v>
      </c>
      <c r="I8" s="143">
        <f t="shared" si="3"/>
        <v>-253</v>
      </c>
      <c r="J8" s="136">
        <f t="shared" si="4"/>
        <v>-1414</v>
      </c>
    </row>
    <row r="9" spans="1:10" ht="15">
      <c r="A9" s="90" t="s">
        <v>94</v>
      </c>
      <c r="B9" s="134">
        <v>4557</v>
      </c>
      <c r="C9" s="134">
        <v>3223</v>
      </c>
      <c r="D9" s="135">
        <f t="shared" si="0"/>
        <v>7780</v>
      </c>
      <c r="E9" s="139">
        <v>3443</v>
      </c>
      <c r="F9" s="139">
        <v>3117</v>
      </c>
      <c r="G9" s="135">
        <f t="shared" si="1"/>
        <v>6560</v>
      </c>
      <c r="H9" s="136">
        <f t="shared" si="2"/>
        <v>-1114</v>
      </c>
      <c r="I9" s="143">
        <f t="shared" si="3"/>
        <v>-106</v>
      </c>
      <c r="J9" s="136">
        <f t="shared" si="4"/>
        <v>-1220</v>
      </c>
    </row>
    <row r="10" spans="1:10" ht="15">
      <c r="A10" s="90" t="s">
        <v>98</v>
      </c>
      <c r="B10" s="134">
        <v>1990</v>
      </c>
      <c r="C10" s="134">
        <v>1729</v>
      </c>
      <c r="D10" s="135">
        <f t="shared" si="0"/>
        <v>3719</v>
      </c>
      <c r="E10" s="139">
        <v>1479</v>
      </c>
      <c r="F10" s="139">
        <v>1500</v>
      </c>
      <c r="G10" s="135">
        <f t="shared" si="1"/>
        <v>2979</v>
      </c>
      <c r="H10" s="136">
        <f t="shared" si="2"/>
        <v>-511</v>
      </c>
      <c r="I10" s="143">
        <f t="shared" si="3"/>
        <v>-229</v>
      </c>
      <c r="J10" s="136">
        <f t="shared" si="4"/>
        <v>-740</v>
      </c>
    </row>
    <row r="11" spans="1:10" ht="15">
      <c r="A11" s="90" t="s">
        <v>101</v>
      </c>
      <c r="B11" s="134">
        <v>3891</v>
      </c>
      <c r="C11" s="134">
        <v>463</v>
      </c>
      <c r="D11" s="135">
        <f t="shared" si="0"/>
        <v>4354</v>
      </c>
      <c r="E11" s="139">
        <v>3665</v>
      </c>
      <c r="F11" s="139">
        <v>926</v>
      </c>
      <c r="G11" s="135">
        <f t="shared" si="1"/>
        <v>4591</v>
      </c>
      <c r="H11" s="136">
        <f t="shared" si="2"/>
        <v>-226</v>
      </c>
      <c r="I11" s="143">
        <f t="shared" si="3"/>
        <v>463</v>
      </c>
      <c r="J11" s="136">
        <f t="shared" si="4"/>
        <v>237</v>
      </c>
    </row>
    <row r="12" spans="1:10" ht="15">
      <c r="A12" s="90" t="s">
        <v>106</v>
      </c>
      <c r="B12" s="134">
        <v>5340</v>
      </c>
      <c r="C12" s="134">
        <v>1190</v>
      </c>
      <c r="D12" s="135">
        <f t="shared" si="0"/>
        <v>6530</v>
      </c>
      <c r="E12" s="139">
        <v>4107</v>
      </c>
      <c r="F12" s="139">
        <v>1242</v>
      </c>
      <c r="G12" s="135">
        <f t="shared" si="1"/>
        <v>5349</v>
      </c>
      <c r="H12" s="136">
        <f t="shared" si="2"/>
        <v>-1233</v>
      </c>
      <c r="I12" s="143">
        <f t="shared" si="3"/>
        <v>52</v>
      </c>
      <c r="J12" s="136">
        <f t="shared" si="4"/>
        <v>-1181</v>
      </c>
    </row>
    <row r="13" spans="1:10" ht="15">
      <c r="A13" s="90" t="s">
        <v>111</v>
      </c>
      <c r="B13" s="134">
        <v>3685</v>
      </c>
      <c r="C13" s="134">
        <v>738</v>
      </c>
      <c r="D13" s="135">
        <f t="shared" si="0"/>
        <v>4423</v>
      </c>
      <c r="E13" s="139">
        <v>2827</v>
      </c>
      <c r="F13" s="139">
        <v>868</v>
      </c>
      <c r="G13" s="135">
        <f t="shared" si="1"/>
        <v>3695</v>
      </c>
      <c r="H13" s="136">
        <f t="shared" si="2"/>
        <v>-858</v>
      </c>
      <c r="I13" s="143">
        <f t="shared" si="3"/>
        <v>130</v>
      </c>
      <c r="J13" s="136">
        <f t="shared" si="4"/>
        <v>-728</v>
      </c>
    </row>
    <row r="14" spans="1:10" ht="15">
      <c r="A14" s="90" t="s">
        <v>115</v>
      </c>
      <c r="B14" s="134">
        <v>1271</v>
      </c>
      <c r="C14" s="134">
        <v>809</v>
      </c>
      <c r="D14" s="135">
        <f t="shared" si="0"/>
        <v>2080</v>
      </c>
      <c r="E14" s="139">
        <v>1053</v>
      </c>
      <c r="F14" s="139">
        <v>666</v>
      </c>
      <c r="G14" s="135">
        <f t="shared" si="1"/>
        <v>1719</v>
      </c>
      <c r="H14" s="136">
        <f t="shared" si="2"/>
        <v>-218</v>
      </c>
      <c r="I14" s="143">
        <f t="shared" si="3"/>
        <v>-143</v>
      </c>
      <c r="J14" s="136">
        <f t="shared" si="4"/>
        <v>-361</v>
      </c>
    </row>
    <row r="15" spans="1:10" ht="15">
      <c r="A15" s="90" t="s">
        <v>120</v>
      </c>
      <c r="B15" s="134">
        <v>6100</v>
      </c>
      <c r="C15" s="134">
        <v>2221</v>
      </c>
      <c r="D15" s="135">
        <f t="shared" si="0"/>
        <v>8321</v>
      </c>
      <c r="E15" s="139">
        <v>4525</v>
      </c>
      <c r="F15" s="139">
        <v>1721</v>
      </c>
      <c r="G15" s="135">
        <f t="shared" si="1"/>
        <v>6246</v>
      </c>
      <c r="H15" s="136">
        <f t="shared" si="2"/>
        <v>-1575</v>
      </c>
      <c r="I15" s="143">
        <f t="shared" si="3"/>
        <v>-500</v>
      </c>
      <c r="J15" s="136">
        <f t="shared" si="4"/>
        <v>-2075</v>
      </c>
    </row>
    <row r="16" spans="1:10" ht="15">
      <c r="A16" s="90" t="s">
        <v>127</v>
      </c>
      <c r="B16" s="134">
        <v>3527</v>
      </c>
      <c r="C16" s="134">
        <v>1568</v>
      </c>
      <c r="D16" s="135">
        <f t="shared" si="0"/>
        <v>5095</v>
      </c>
      <c r="E16" s="139">
        <v>2564</v>
      </c>
      <c r="F16" s="139">
        <v>1555</v>
      </c>
      <c r="G16" s="135">
        <f t="shared" si="1"/>
        <v>4119</v>
      </c>
      <c r="H16" s="136">
        <f t="shared" si="2"/>
        <v>-963</v>
      </c>
      <c r="I16" s="143">
        <f t="shared" si="3"/>
        <v>-13</v>
      </c>
      <c r="J16" s="136">
        <f t="shared" si="4"/>
        <v>-976</v>
      </c>
    </row>
    <row r="17" spans="1:10" ht="15">
      <c r="A17" s="90" t="s">
        <v>133</v>
      </c>
      <c r="B17" s="134">
        <v>1786</v>
      </c>
      <c r="C17" s="134">
        <v>635</v>
      </c>
      <c r="D17" s="135">
        <f t="shared" si="0"/>
        <v>2421</v>
      </c>
      <c r="E17" s="139">
        <v>1295</v>
      </c>
      <c r="F17" s="139">
        <v>450</v>
      </c>
      <c r="G17" s="135">
        <f t="shared" si="1"/>
        <v>1745</v>
      </c>
      <c r="H17" s="136">
        <f t="shared" si="2"/>
        <v>-491</v>
      </c>
      <c r="I17" s="143">
        <f t="shared" si="3"/>
        <v>-185</v>
      </c>
      <c r="J17" s="136">
        <f t="shared" si="4"/>
        <v>-676</v>
      </c>
    </row>
    <row r="18" spans="1:10" ht="15">
      <c r="A18" s="90" t="s">
        <v>137</v>
      </c>
      <c r="B18" s="134">
        <v>323</v>
      </c>
      <c r="C18" s="134">
        <v>0</v>
      </c>
      <c r="D18" s="135">
        <f t="shared" si="0"/>
        <v>323</v>
      </c>
      <c r="E18" s="139">
        <v>275</v>
      </c>
      <c r="F18" s="139">
        <v>0</v>
      </c>
      <c r="G18" s="135">
        <f t="shared" si="1"/>
        <v>275</v>
      </c>
      <c r="H18" s="136">
        <f t="shared" si="2"/>
        <v>-48</v>
      </c>
      <c r="I18" s="143">
        <f t="shared" si="3"/>
        <v>0</v>
      </c>
      <c r="J18" s="136">
        <f t="shared" si="4"/>
        <v>-48</v>
      </c>
    </row>
    <row r="19" spans="1:10" ht="15">
      <c r="A19" s="90" t="s">
        <v>141</v>
      </c>
      <c r="B19" s="134">
        <v>176</v>
      </c>
      <c r="C19" s="134">
        <v>0</v>
      </c>
      <c r="D19" s="135">
        <f t="shared" si="0"/>
        <v>176</v>
      </c>
      <c r="E19" s="139">
        <v>176</v>
      </c>
      <c r="F19" s="139">
        <v>0</v>
      </c>
      <c r="G19" s="135">
        <f t="shared" si="1"/>
        <v>176</v>
      </c>
      <c r="H19" s="136">
        <f t="shared" si="2"/>
        <v>0</v>
      </c>
      <c r="I19" s="143">
        <f t="shared" si="3"/>
        <v>0</v>
      </c>
      <c r="J19" s="136">
        <f t="shared" si="4"/>
        <v>0</v>
      </c>
    </row>
    <row r="20" spans="1:10" ht="15">
      <c r="A20" s="90" t="s">
        <v>142</v>
      </c>
      <c r="B20" s="134">
        <v>153</v>
      </c>
      <c r="C20" s="134">
        <v>0</v>
      </c>
      <c r="D20" s="135">
        <f t="shared" si="0"/>
        <v>153</v>
      </c>
      <c r="E20" s="139">
        <v>128</v>
      </c>
      <c r="F20" s="139">
        <v>0</v>
      </c>
      <c r="G20" s="135">
        <f t="shared" si="1"/>
        <v>128</v>
      </c>
      <c r="H20" s="136">
        <f t="shared" si="2"/>
        <v>-25</v>
      </c>
      <c r="I20" s="143">
        <f t="shared" si="3"/>
        <v>0</v>
      </c>
      <c r="J20" s="136">
        <f t="shared" si="4"/>
        <v>-25</v>
      </c>
    </row>
    <row r="21" spans="1:10" ht="15">
      <c r="A21" s="90" t="s">
        <v>146</v>
      </c>
      <c r="B21" s="134">
        <v>1624</v>
      </c>
      <c r="C21" s="134">
        <v>1011</v>
      </c>
      <c r="D21" s="135">
        <f t="shared" si="0"/>
        <v>2635</v>
      </c>
      <c r="E21" s="139">
        <v>1487</v>
      </c>
      <c r="F21" s="139">
        <v>1313</v>
      </c>
      <c r="G21" s="135">
        <f t="shared" si="1"/>
        <v>2800</v>
      </c>
      <c r="H21" s="136">
        <f t="shared" si="2"/>
        <v>-137</v>
      </c>
      <c r="I21" s="143">
        <f t="shared" si="3"/>
        <v>302</v>
      </c>
      <c r="J21" s="136">
        <f t="shared" si="4"/>
        <v>165</v>
      </c>
    </row>
    <row r="22" spans="1:10" ht="15">
      <c r="A22" s="90" t="s">
        <v>147</v>
      </c>
      <c r="B22" s="134">
        <v>33</v>
      </c>
      <c r="C22" s="134">
        <v>29</v>
      </c>
      <c r="D22" s="135">
        <f t="shared" si="0"/>
        <v>62</v>
      </c>
      <c r="E22" s="139">
        <v>31</v>
      </c>
      <c r="F22" s="139">
        <v>43</v>
      </c>
      <c r="G22" s="135">
        <f t="shared" si="1"/>
        <v>74</v>
      </c>
      <c r="H22" s="136">
        <f t="shared" si="2"/>
        <v>-2</v>
      </c>
      <c r="I22" s="143">
        <f t="shared" si="3"/>
        <v>14</v>
      </c>
      <c r="J22" s="136">
        <f t="shared" si="4"/>
        <v>12</v>
      </c>
    </row>
    <row r="23" spans="1:10" ht="15">
      <c r="A23" s="91" t="s">
        <v>188</v>
      </c>
      <c r="B23" s="137">
        <f aca="true" t="shared" si="5" ref="B23:J23">SUM(B3:B22)</f>
        <v>60948</v>
      </c>
      <c r="C23" s="137">
        <f t="shared" si="5"/>
        <v>21544</v>
      </c>
      <c r="D23" s="137">
        <f t="shared" si="5"/>
        <v>82492</v>
      </c>
      <c r="E23" s="137">
        <f t="shared" si="5"/>
        <v>49525</v>
      </c>
      <c r="F23" s="137">
        <f t="shared" si="5"/>
        <v>20432</v>
      </c>
      <c r="G23" s="137">
        <f>SUM(G3:G22)</f>
        <v>69957</v>
      </c>
      <c r="H23" s="137">
        <f t="shared" si="5"/>
        <v>-11423</v>
      </c>
      <c r="I23" s="137">
        <f t="shared" si="5"/>
        <v>-1112</v>
      </c>
      <c r="J23" s="137">
        <f t="shared" si="5"/>
        <v>-12535</v>
      </c>
    </row>
    <row r="24" spans="1:10" ht="15.75" customHeight="1">
      <c r="A24" s="90" t="s">
        <v>149</v>
      </c>
      <c r="B24" s="134">
        <v>7</v>
      </c>
      <c r="C24" s="134">
        <v>24</v>
      </c>
      <c r="D24" s="135">
        <f aca="true" t="shared" si="6" ref="D24:D29">+B24+C24</f>
        <v>31</v>
      </c>
      <c r="E24" s="144">
        <v>27</v>
      </c>
      <c r="F24" s="139">
        <v>18</v>
      </c>
      <c r="G24" s="135">
        <f t="shared" si="1"/>
        <v>45</v>
      </c>
      <c r="H24" s="136">
        <f aca="true" t="shared" si="7" ref="H24:H33">+E24-B24</f>
        <v>20</v>
      </c>
      <c r="I24" s="143">
        <f aca="true" t="shared" si="8" ref="I24:I33">+F24-C24</f>
        <v>-6</v>
      </c>
      <c r="J24" s="136">
        <f t="shared" si="4"/>
        <v>14</v>
      </c>
    </row>
    <row r="25" spans="1:10" ht="15.75" customHeight="1">
      <c r="A25" s="90" t="s">
        <v>150</v>
      </c>
      <c r="B25" s="134">
        <v>0</v>
      </c>
      <c r="C25" s="134">
        <v>134</v>
      </c>
      <c r="D25" s="135">
        <f t="shared" si="6"/>
        <v>134</v>
      </c>
      <c r="E25" s="144">
        <v>0</v>
      </c>
      <c r="F25" s="139">
        <v>958</v>
      </c>
      <c r="G25" s="135">
        <f t="shared" si="1"/>
        <v>958</v>
      </c>
      <c r="H25" s="136">
        <f t="shared" si="7"/>
        <v>0</v>
      </c>
      <c r="I25" s="143">
        <f t="shared" si="8"/>
        <v>824</v>
      </c>
      <c r="J25" s="136">
        <f t="shared" si="4"/>
        <v>824</v>
      </c>
    </row>
    <row r="26" spans="1:10" ht="16.5" customHeight="1">
      <c r="A26" s="90" t="s">
        <v>151</v>
      </c>
      <c r="B26" s="134">
        <v>0</v>
      </c>
      <c r="C26" s="134">
        <v>0</v>
      </c>
      <c r="D26" s="135">
        <f t="shared" si="6"/>
        <v>0</v>
      </c>
      <c r="E26" s="144">
        <v>0</v>
      </c>
      <c r="F26" s="139">
        <v>0</v>
      </c>
      <c r="G26" s="135">
        <f t="shared" si="1"/>
        <v>0</v>
      </c>
      <c r="H26" s="136">
        <f t="shared" si="7"/>
        <v>0</v>
      </c>
      <c r="I26" s="143">
        <f t="shared" si="8"/>
        <v>0</v>
      </c>
      <c r="J26" s="136">
        <f t="shared" si="4"/>
        <v>0</v>
      </c>
    </row>
    <row r="27" spans="1:10" ht="16.5" customHeight="1">
      <c r="A27" s="90" t="s">
        <v>152</v>
      </c>
      <c r="B27" s="134">
        <v>0</v>
      </c>
      <c r="C27" s="134">
        <v>0</v>
      </c>
      <c r="D27" s="135">
        <f t="shared" si="6"/>
        <v>0</v>
      </c>
      <c r="E27" s="144">
        <v>0</v>
      </c>
      <c r="F27" s="139">
        <v>65</v>
      </c>
      <c r="G27" s="135">
        <f t="shared" si="1"/>
        <v>65</v>
      </c>
      <c r="H27" s="136">
        <f t="shared" si="7"/>
        <v>0</v>
      </c>
      <c r="I27" s="143">
        <f t="shared" si="8"/>
        <v>65</v>
      </c>
      <c r="J27" s="136">
        <f t="shared" si="4"/>
        <v>65</v>
      </c>
    </row>
    <row r="28" spans="1:10" ht="16.5" customHeight="1">
      <c r="A28" s="90" t="s">
        <v>194</v>
      </c>
      <c r="B28" s="134">
        <v>0</v>
      </c>
      <c r="C28" s="134">
        <v>0</v>
      </c>
      <c r="D28" s="135">
        <f t="shared" si="6"/>
        <v>0</v>
      </c>
      <c r="E28" s="144">
        <v>0</v>
      </c>
      <c r="F28" s="139">
        <v>0</v>
      </c>
      <c r="G28" s="135">
        <f t="shared" si="1"/>
        <v>0</v>
      </c>
      <c r="H28" s="136">
        <f t="shared" si="7"/>
        <v>0</v>
      </c>
      <c r="I28" s="143">
        <f t="shared" si="8"/>
        <v>0</v>
      </c>
      <c r="J28" s="136">
        <f t="shared" si="4"/>
        <v>0</v>
      </c>
    </row>
    <row r="29" spans="1:10" ht="16.5" customHeight="1">
      <c r="A29" s="90" t="s">
        <v>195</v>
      </c>
      <c r="B29" s="134">
        <v>0</v>
      </c>
      <c r="C29" s="134">
        <v>0</v>
      </c>
      <c r="D29" s="135">
        <f t="shared" si="6"/>
        <v>0</v>
      </c>
      <c r="E29" s="144">
        <v>0</v>
      </c>
      <c r="F29" s="139">
        <v>0</v>
      </c>
      <c r="G29" s="135">
        <f t="shared" si="1"/>
        <v>0</v>
      </c>
      <c r="H29" s="136">
        <f t="shared" si="7"/>
        <v>0</v>
      </c>
      <c r="I29" s="143">
        <f t="shared" si="8"/>
        <v>0</v>
      </c>
      <c r="J29" s="136">
        <f t="shared" si="4"/>
        <v>0</v>
      </c>
    </row>
    <row r="30" spans="1:10" ht="15.75" customHeight="1">
      <c r="A30" s="90" t="s">
        <v>28</v>
      </c>
      <c r="B30" s="139">
        <v>0</v>
      </c>
      <c r="C30" s="139">
        <v>0</v>
      </c>
      <c r="D30" s="139">
        <v>0</v>
      </c>
      <c r="E30" s="139">
        <v>0</v>
      </c>
      <c r="F30" s="139">
        <v>0</v>
      </c>
      <c r="G30" s="135">
        <f>+E30+F30</f>
        <v>0</v>
      </c>
      <c r="H30" s="136">
        <f t="shared" si="7"/>
        <v>0</v>
      </c>
      <c r="I30" s="143">
        <f t="shared" si="8"/>
        <v>0</v>
      </c>
      <c r="J30" s="136">
        <f>+H30+I30</f>
        <v>0</v>
      </c>
    </row>
    <row r="31" spans="1:10" s="15" customFormat="1" ht="15.75" customHeight="1">
      <c r="A31" s="90" t="s">
        <v>29</v>
      </c>
      <c r="B31" s="139">
        <v>0</v>
      </c>
      <c r="C31" s="139">
        <v>0</v>
      </c>
      <c r="D31" s="139">
        <v>0</v>
      </c>
      <c r="E31" s="139">
        <v>0</v>
      </c>
      <c r="F31" s="139">
        <v>0</v>
      </c>
      <c r="G31" s="135">
        <f>+E31+F31</f>
        <v>0</v>
      </c>
      <c r="H31" s="136">
        <f t="shared" si="7"/>
        <v>0</v>
      </c>
      <c r="I31" s="143">
        <f t="shared" si="8"/>
        <v>0</v>
      </c>
      <c r="J31" s="136">
        <f>+H31+I31</f>
        <v>0</v>
      </c>
    </row>
    <row r="32" spans="1:10" ht="15.75" customHeight="1">
      <c r="A32" s="90" t="s">
        <v>30</v>
      </c>
      <c r="B32" s="139">
        <v>0</v>
      </c>
      <c r="C32" s="139">
        <v>0</v>
      </c>
      <c r="D32" s="139">
        <v>0</v>
      </c>
      <c r="E32" s="139">
        <v>0</v>
      </c>
      <c r="F32" s="139">
        <v>0</v>
      </c>
      <c r="G32" s="135">
        <f>+E32+F32</f>
        <v>0</v>
      </c>
      <c r="H32" s="136">
        <f t="shared" si="7"/>
        <v>0</v>
      </c>
      <c r="I32" s="143">
        <f t="shared" si="8"/>
        <v>0</v>
      </c>
      <c r="J32" s="136">
        <f>+H32+I32</f>
        <v>0</v>
      </c>
    </row>
    <row r="33" spans="1:10" ht="15.75" customHeight="1">
      <c r="A33" s="90" t="s">
        <v>31</v>
      </c>
      <c r="B33" s="139">
        <v>0</v>
      </c>
      <c r="C33" s="139">
        <v>0</v>
      </c>
      <c r="D33" s="139">
        <v>0</v>
      </c>
      <c r="E33" s="139">
        <v>0</v>
      </c>
      <c r="F33" s="139">
        <v>0</v>
      </c>
      <c r="G33" s="135">
        <f>+E33+F33</f>
        <v>0</v>
      </c>
      <c r="H33" s="136">
        <f t="shared" si="7"/>
        <v>0</v>
      </c>
      <c r="I33" s="143">
        <f t="shared" si="8"/>
        <v>0</v>
      </c>
      <c r="J33" s="136">
        <f>+H33+I33</f>
        <v>0</v>
      </c>
    </row>
    <row r="34" spans="1:10" ht="15">
      <c r="A34" s="91" t="s">
        <v>189</v>
      </c>
      <c r="B34" s="137">
        <f>SUM(B24:B33)</f>
        <v>7</v>
      </c>
      <c r="C34" s="137">
        <f>SUM(C24:C33)</f>
        <v>158</v>
      </c>
      <c r="D34" s="137">
        <f>SUM(D24:D29)</f>
        <v>165</v>
      </c>
      <c r="E34" s="137">
        <f aca="true" t="shared" si="9" ref="E34:J34">SUM(E24:E33)</f>
        <v>27</v>
      </c>
      <c r="F34" s="137">
        <f t="shared" si="9"/>
        <v>1041</v>
      </c>
      <c r="G34" s="137">
        <f>SUM(G24:G33)</f>
        <v>1068</v>
      </c>
      <c r="H34" s="137">
        <f t="shared" si="9"/>
        <v>20</v>
      </c>
      <c r="I34" s="137">
        <f t="shared" si="9"/>
        <v>883</v>
      </c>
      <c r="J34" s="137">
        <f t="shared" si="9"/>
        <v>903</v>
      </c>
    </row>
    <row r="35" spans="1:10" ht="14.25">
      <c r="A35" s="145" t="s">
        <v>243</v>
      </c>
      <c r="B35" s="146">
        <f aca="true" t="shared" si="10" ref="B35:I35">+B23+B34</f>
        <v>60955</v>
      </c>
      <c r="C35" s="146">
        <f t="shared" si="10"/>
        <v>21702</v>
      </c>
      <c r="D35" s="146">
        <f t="shared" si="10"/>
        <v>82657</v>
      </c>
      <c r="E35" s="146">
        <f>+E23+E34</f>
        <v>49552</v>
      </c>
      <c r="F35" s="146">
        <f>+F23+F34</f>
        <v>21473</v>
      </c>
      <c r="G35" s="146">
        <f>+G23+G34</f>
        <v>71025</v>
      </c>
      <c r="H35" s="146">
        <f t="shared" si="10"/>
        <v>-11403</v>
      </c>
      <c r="I35" s="146">
        <f t="shared" si="10"/>
        <v>-229</v>
      </c>
      <c r="J35" s="146">
        <f>+J23+J34</f>
        <v>-11632</v>
      </c>
    </row>
    <row r="36" spans="1:10" ht="15.75">
      <c r="A36" s="87" t="s">
        <v>32</v>
      </c>
      <c r="B36" s="88"/>
      <c r="C36" s="88"/>
      <c r="D36" s="88"/>
      <c r="G36" s="85"/>
      <c r="H36" s="86"/>
      <c r="I36" s="133"/>
      <c r="J36" s="170" t="s">
        <v>217</v>
      </c>
    </row>
  </sheetData>
  <mergeCells count="1">
    <mergeCell ref="A1:J1"/>
  </mergeCells>
  <printOptions horizontalCentered="1"/>
  <pageMargins left="0.7874015748031497" right="0.7874015748031497" top="0.984251968503937" bottom="0.984251968503937" header="0.5118110236220472" footer="0.5118110236220472"/>
  <pageSetup fitToHeight="2" fitToWidth="2" horizontalDpi="600" verticalDpi="600" orientation="landscape" paperSize="9" scale="78" r:id="rId1"/>
  <rowBreaks count="1" manualBreakCount="1">
    <brk id="18" max="9" man="1"/>
  </rowBreaks>
</worksheet>
</file>

<file path=xl/worksheets/sheet20.xml><?xml version="1.0" encoding="utf-8"?>
<worksheet xmlns="http://schemas.openxmlformats.org/spreadsheetml/2006/main" xmlns:r="http://schemas.openxmlformats.org/officeDocument/2006/relationships">
  <sheetPr codeName="Hárok25">
    <tabColor indexed="45"/>
    <pageSetUpPr fitToPage="1"/>
  </sheetPr>
  <dimension ref="A1:J26"/>
  <sheetViews>
    <sheetView workbookViewId="0" topLeftCell="A1">
      <selection activeCell="J24" sqref="J24"/>
    </sheetView>
  </sheetViews>
  <sheetFormatPr defaultColWidth="9.140625" defaultRowHeight="12.75"/>
  <cols>
    <col min="1" max="1" width="25.7109375" style="284" customWidth="1"/>
    <col min="2" max="10" width="15.7109375" style="284" customWidth="1"/>
    <col min="11" max="16384" width="9.140625" style="284" customWidth="1"/>
  </cols>
  <sheetData>
    <row r="1" spans="1:10" s="272" customFormat="1" ht="75" customHeight="1">
      <c r="A1" s="564" t="s">
        <v>412</v>
      </c>
      <c r="B1" s="564"/>
      <c r="C1" s="564"/>
      <c r="D1" s="564"/>
      <c r="E1" s="564"/>
      <c r="F1" s="564"/>
      <c r="G1" s="564"/>
      <c r="H1" s="564"/>
      <c r="I1" s="564"/>
      <c r="J1" s="564"/>
    </row>
    <row r="2" spans="1:10" s="276" customFormat="1" ht="135.75" customHeight="1">
      <c r="A2" s="273" t="s">
        <v>154</v>
      </c>
      <c r="B2" s="273" t="s">
        <v>369</v>
      </c>
      <c r="C2" s="273" t="s">
        <v>370</v>
      </c>
      <c r="D2" s="273" t="s">
        <v>339</v>
      </c>
      <c r="E2" s="274" t="s">
        <v>340</v>
      </c>
      <c r="F2" s="273" t="s">
        <v>341</v>
      </c>
      <c r="G2" s="273" t="s">
        <v>342</v>
      </c>
      <c r="H2" s="273" t="s">
        <v>343</v>
      </c>
      <c r="I2" s="274" t="s">
        <v>344</v>
      </c>
      <c r="J2" s="273" t="s">
        <v>345</v>
      </c>
    </row>
    <row r="3" spans="1:10" s="317" customFormat="1" ht="15.75">
      <c r="A3" s="312" t="s">
        <v>60</v>
      </c>
      <c r="B3" s="313">
        <v>2</v>
      </c>
      <c r="C3" s="313">
        <v>2</v>
      </c>
      <c r="D3" s="314">
        <f>E3-C3</f>
        <v>13</v>
      </c>
      <c r="E3" s="279">
        <v>15</v>
      </c>
      <c r="F3" s="315">
        <f aca="true" t="shared" si="0" ref="F3:F23">+E3/E$23</f>
        <v>0.19480519480519481</v>
      </c>
      <c r="G3" s="316">
        <v>17090</v>
      </c>
      <c r="H3" s="316">
        <v>1685</v>
      </c>
      <c r="I3" s="282">
        <f aca="true" t="shared" si="1" ref="I3:I22">G3+H3</f>
        <v>18775</v>
      </c>
      <c r="J3" s="315">
        <f aca="true" t="shared" si="2" ref="J3:J23">+I3/I$23</f>
        <v>0.25167560321715815</v>
      </c>
    </row>
    <row r="4" spans="1:10" s="317" customFormat="1" ht="15.75">
      <c r="A4" s="277" t="s">
        <v>78</v>
      </c>
      <c r="B4" s="313">
        <v>0</v>
      </c>
      <c r="C4" s="313">
        <v>0</v>
      </c>
      <c r="D4" s="314">
        <v>0</v>
      </c>
      <c r="E4" s="279">
        <v>0</v>
      </c>
      <c r="F4" s="315">
        <f t="shared" si="0"/>
        <v>0</v>
      </c>
      <c r="G4" s="316">
        <v>0</v>
      </c>
      <c r="H4" s="316">
        <v>0</v>
      </c>
      <c r="I4" s="282">
        <f t="shared" si="1"/>
        <v>0</v>
      </c>
      <c r="J4" s="315">
        <f t="shared" si="2"/>
        <v>0</v>
      </c>
    </row>
    <row r="5" spans="1:10" s="317" customFormat="1" ht="15.75">
      <c r="A5" s="312" t="s">
        <v>80</v>
      </c>
      <c r="B5" s="313">
        <v>1</v>
      </c>
      <c r="C5" s="313">
        <v>1</v>
      </c>
      <c r="D5" s="314">
        <f>E5-C5</f>
        <v>1</v>
      </c>
      <c r="E5" s="279">
        <v>2</v>
      </c>
      <c r="F5" s="315">
        <f t="shared" si="0"/>
        <v>0.025974025974025976</v>
      </c>
      <c r="G5" s="316">
        <v>1375</v>
      </c>
      <c r="H5" s="316">
        <v>0</v>
      </c>
      <c r="I5" s="282">
        <f t="shared" si="1"/>
        <v>1375</v>
      </c>
      <c r="J5" s="315">
        <f t="shared" si="2"/>
        <v>0.018431635388739945</v>
      </c>
    </row>
    <row r="6" spans="1:10" s="317" customFormat="1" ht="15.75">
      <c r="A6" s="277" t="s">
        <v>87</v>
      </c>
      <c r="B6" s="313">
        <v>2</v>
      </c>
      <c r="C6" s="313">
        <v>2</v>
      </c>
      <c r="D6" s="314">
        <v>0</v>
      </c>
      <c r="E6" s="279">
        <v>2</v>
      </c>
      <c r="F6" s="315">
        <f t="shared" si="0"/>
        <v>0.025974025974025976</v>
      </c>
      <c r="G6" s="316">
        <v>800</v>
      </c>
      <c r="H6" s="316">
        <v>0</v>
      </c>
      <c r="I6" s="282">
        <f t="shared" si="1"/>
        <v>800</v>
      </c>
      <c r="J6" s="315">
        <f t="shared" si="2"/>
        <v>0.010723860589812333</v>
      </c>
    </row>
    <row r="7" spans="1:10" s="317" customFormat="1" ht="15.75">
      <c r="A7" s="312" t="s">
        <v>90</v>
      </c>
      <c r="B7" s="313">
        <v>4</v>
      </c>
      <c r="C7" s="313">
        <v>4</v>
      </c>
      <c r="D7" s="314">
        <v>0</v>
      </c>
      <c r="E7" s="279">
        <v>4</v>
      </c>
      <c r="F7" s="315">
        <f t="shared" si="0"/>
        <v>0.05194805194805195</v>
      </c>
      <c r="G7" s="316">
        <v>6080</v>
      </c>
      <c r="H7" s="316">
        <v>1000</v>
      </c>
      <c r="I7" s="282">
        <f t="shared" si="1"/>
        <v>7080</v>
      </c>
      <c r="J7" s="315">
        <f t="shared" si="2"/>
        <v>0.09490616621983915</v>
      </c>
    </row>
    <row r="8" spans="1:10" s="317" customFormat="1" ht="15.75">
      <c r="A8" s="277" t="s">
        <v>91</v>
      </c>
      <c r="B8" s="313">
        <v>0</v>
      </c>
      <c r="C8" s="313">
        <v>0</v>
      </c>
      <c r="D8" s="314">
        <v>0</v>
      </c>
      <c r="E8" s="279">
        <v>0</v>
      </c>
      <c r="F8" s="315">
        <f t="shared" si="0"/>
        <v>0</v>
      </c>
      <c r="G8" s="316">
        <v>0</v>
      </c>
      <c r="H8" s="316">
        <v>0</v>
      </c>
      <c r="I8" s="282">
        <f t="shared" si="1"/>
        <v>0</v>
      </c>
      <c r="J8" s="315">
        <f t="shared" si="2"/>
        <v>0</v>
      </c>
    </row>
    <row r="9" spans="1:10" s="317" customFormat="1" ht="15.75">
      <c r="A9" s="277" t="s">
        <v>159</v>
      </c>
      <c r="B9" s="313">
        <v>0</v>
      </c>
      <c r="C9" s="313">
        <v>0</v>
      </c>
      <c r="D9" s="314">
        <v>0</v>
      </c>
      <c r="E9" s="279">
        <v>0</v>
      </c>
      <c r="F9" s="315">
        <f t="shared" si="0"/>
        <v>0</v>
      </c>
      <c r="G9" s="316">
        <v>0</v>
      </c>
      <c r="H9" s="316">
        <v>0</v>
      </c>
      <c r="I9" s="282">
        <f t="shared" si="1"/>
        <v>0</v>
      </c>
      <c r="J9" s="315">
        <f t="shared" si="2"/>
        <v>0</v>
      </c>
    </row>
    <row r="10" spans="1:10" s="317" customFormat="1" ht="15.75">
      <c r="A10" s="277" t="s">
        <v>160</v>
      </c>
      <c r="B10" s="313">
        <v>0</v>
      </c>
      <c r="C10" s="313">
        <v>0</v>
      </c>
      <c r="D10" s="314">
        <v>0</v>
      </c>
      <c r="E10" s="279">
        <v>0</v>
      </c>
      <c r="F10" s="315">
        <f t="shared" si="0"/>
        <v>0</v>
      </c>
      <c r="G10" s="316">
        <v>0</v>
      </c>
      <c r="H10" s="316">
        <v>0</v>
      </c>
      <c r="I10" s="282">
        <f t="shared" si="1"/>
        <v>0</v>
      </c>
      <c r="J10" s="315">
        <f t="shared" si="2"/>
        <v>0</v>
      </c>
    </row>
    <row r="11" spans="1:10" s="317" customFormat="1" ht="15.75">
      <c r="A11" s="312" t="s">
        <v>101</v>
      </c>
      <c r="B11" s="313">
        <v>7</v>
      </c>
      <c r="C11" s="313">
        <v>7</v>
      </c>
      <c r="D11" s="314">
        <f>E11-C11</f>
        <v>16</v>
      </c>
      <c r="E11" s="279">
        <v>23</v>
      </c>
      <c r="F11" s="315">
        <f t="shared" si="0"/>
        <v>0.2987012987012987</v>
      </c>
      <c r="G11" s="316">
        <v>16112</v>
      </c>
      <c r="H11" s="316">
        <v>685</v>
      </c>
      <c r="I11" s="282">
        <f t="shared" si="1"/>
        <v>16797</v>
      </c>
      <c r="J11" s="315">
        <f t="shared" si="2"/>
        <v>0.22516085790884718</v>
      </c>
    </row>
    <row r="12" spans="1:10" s="317" customFormat="1" ht="15.75">
      <c r="A12" s="312" t="s">
        <v>106</v>
      </c>
      <c r="B12" s="313">
        <v>3</v>
      </c>
      <c r="C12" s="313">
        <v>3</v>
      </c>
      <c r="D12" s="314">
        <f>E12-C12</f>
        <v>7</v>
      </c>
      <c r="E12" s="279">
        <v>10</v>
      </c>
      <c r="F12" s="315">
        <f t="shared" si="0"/>
        <v>0.12987012987012986</v>
      </c>
      <c r="G12" s="316">
        <v>7588</v>
      </c>
      <c r="H12" s="316">
        <v>1200</v>
      </c>
      <c r="I12" s="282">
        <f t="shared" si="1"/>
        <v>8788</v>
      </c>
      <c r="J12" s="315">
        <f t="shared" si="2"/>
        <v>0.11780160857908847</v>
      </c>
    </row>
    <row r="13" spans="1:10" s="317" customFormat="1" ht="15.75">
      <c r="A13" s="312" t="s">
        <v>111</v>
      </c>
      <c r="B13" s="313">
        <v>0</v>
      </c>
      <c r="C13" s="313">
        <v>0</v>
      </c>
      <c r="D13" s="314">
        <f>E13-C13</f>
        <v>6</v>
      </c>
      <c r="E13" s="279">
        <v>6</v>
      </c>
      <c r="F13" s="315">
        <f t="shared" si="0"/>
        <v>0.07792207792207792</v>
      </c>
      <c r="G13" s="316">
        <v>5301</v>
      </c>
      <c r="H13" s="316">
        <v>1750</v>
      </c>
      <c r="I13" s="282">
        <f t="shared" si="1"/>
        <v>7051</v>
      </c>
      <c r="J13" s="315">
        <f t="shared" si="2"/>
        <v>0.09451742627345845</v>
      </c>
    </row>
    <row r="14" spans="1:10" s="317" customFormat="1" ht="15.75">
      <c r="A14" s="312" t="s">
        <v>115</v>
      </c>
      <c r="B14" s="313">
        <v>2</v>
      </c>
      <c r="C14" s="313">
        <v>2</v>
      </c>
      <c r="D14" s="314">
        <f>E14-C14</f>
        <v>3</v>
      </c>
      <c r="E14" s="279">
        <v>5</v>
      </c>
      <c r="F14" s="315">
        <f t="shared" si="0"/>
        <v>0.06493506493506493</v>
      </c>
      <c r="G14" s="316">
        <v>1897</v>
      </c>
      <c r="H14" s="316">
        <v>200</v>
      </c>
      <c r="I14" s="282">
        <f t="shared" si="1"/>
        <v>2097</v>
      </c>
      <c r="J14" s="315">
        <f t="shared" si="2"/>
        <v>0.028109919571045576</v>
      </c>
    </row>
    <row r="15" spans="1:10" s="317" customFormat="1" ht="15.75">
      <c r="A15" s="277" t="s">
        <v>120</v>
      </c>
      <c r="B15" s="313">
        <v>2</v>
      </c>
      <c r="C15" s="313">
        <v>2</v>
      </c>
      <c r="D15" s="314">
        <v>0</v>
      </c>
      <c r="E15" s="279">
        <v>2</v>
      </c>
      <c r="F15" s="315">
        <f t="shared" si="0"/>
        <v>0.025974025974025976</v>
      </c>
      <c r="G15" s="316">
        <v>1342</v>
      </c>
      <c r="H15" s="316">
        <v>0</v>
      </c>
      <c r="I15" s="282">
        <f t="shared" si="1"/>
        <v>1342</v>
      </c>
      <c r="J15" s="315">
        <f t="shared" si="2"/>
        <v>0.017989276139410187</v>
      </c>
    </row>
    <row r="16" spans="1:10" s="317" customFormat="1" ht="15.75">
      <c r="A16" s="312" t="s">
        <v>127</v>
      </c>
      <c r="B16" s="313">
        <v>0</v>
      </c>
      <c r="C16" s="313">
        <v>0</v>
      </c>
      <c r="D16" s="314">
        <f>E16-C16</f>
        <v>2</v>
      </c>
      <c r="E16" s="279">
        <v>2</v>
      </c>
      <c r="F16" s="315">
        <f t="shared" si="0"/>
        <v>0.025974025974025976</v>
      </c>
      <c r="G16" s="316">
        <v>5000</v>
      </c>
      <c r="H16" s="316">
        <v>500</v>
      </c>
      <c r="I16" s="282">
        <f t="shared" si="1"/>
        <v>5500</v>
      </c>
      <c r="J16" s="315">
        <f t="shared" si="2"/>
        <v>0.07372654155495978</v>
      </c>
    </row>
    <row r="17" spans="1:10" s="317" customFormat="1" ht="15.75">
      <c r="A17" s="312" t="s">
        <v>133</v>
      </c>
      <c r="B17" s="313">
        <v>2</v>
      </c>
      <c r="C17" s="313">
        <v>2</v>
      </c>
      <c r="D17" s="314">
        <f>E17-C17</f>
        <v>4</v>
      </c>
      <c r="E17" s="279">
        <v>6</v>
      </c>
      <c r="F17" s="315">
        <f t="shared" si="0"/>
        <v>0.07792207792207792</v>
      </c>
      <c r="G17" s="316">
        <v>4865</v>
      </c>
      <c r="H17" s="316">
        <v>130</v>
      </c>
      <c r="I17" s="282">
        <f t="shared" si="1"/>
        <v>4995</v>
      </c>
      <c r="J17" s="315">
        <f t="shared" si="2"/>
        <v>0.06695710455764076</v>
      </c>
    </row>
    <row r="18" spans="1:10" s="317" customFormat="1" ht="15.75">
      <c r="A18" s="277" t="s">
        <v>137</v>
      </c>
      <c r="B18" s="313">
        <v>0</v>
      </c>
      <c r="C18" s="313">
        <v>0</v>
      </c>
      <c r="D18" s="314">
        <v>0</v>
      </c>
      <c r="E18" s="279">
        <v>0</v>
      </c>
      <c r="F18" s="315">
        <f t="shared" si="0"/>
        <v>0</v>
      </c>
      <c r="G18" s="316">
        <v>0</v>
      </c>
      <c r="H18" s="316">
        <v>0</v>
      </c>
      <c r="I18" s="282">
        <f t="shared" si="1"/>
        <v>0</v>
      </c>
      <c r="J18" s="315">
        <f t="shared" si="2"/>
        <v>0</v>
      </c>
    </row>
    <row r="19" spans="1:10" s="317" customFormat="1" ht="15.75">
      <c r="A19" s="277" t="s">
        <v>141</v>
      </c>
      <c r="B19" s="313">
        <v>0</v>
      </c>
      <c r="C19" s="313">
        <v>0</v>
      </c>
      <c r="D19" s="314">
        <v>0</v>
      </c>
      <c r="E19" s="279">
        <v>0</v>
      </c>
      <c r="F19" s="315">
        <f t="shared" si="0"/>
        <v>0</v>
      </c>
      <c r="G19" s="316">
        <v>0</v>
      </c>
      <c r="H19" s="316">
        <v>0</v>
      </c>
      <c r="I19" s="282">
        <f t="shared" si="1"/>
        <v>0</v>
      </c>
      <c r="J19" s="315">
        <f t="shared" si="2"/>
        <v>0</v>
      </c>
    </row>
    <row r="20" spans="1:10" s="317" customFormat="1" ht="15.75">
      <c r="A20" s="277" t="s">
        <v>177</v>
      </c>
      <c r="B20" s="313">
        <v>0</v>
      </c>
      <c r="C20" s="313">
        <v>0</v>
      </c>
      <c r="D20" s="314">
        <v>0</v>
      </c>
      <c r="E20" s="279">
        <v>0</v>
      </c>
      <c r="F20" s="315">
        <f t="shared" si="0"/>
        <v>0</v>
      </c>
      <c r="G20" s="316">
        <v>0</v>
      </c>
      <c r="H20" s="316">
        <v>0</v>
      </c>
      <c r="I20" s="282">
        <f t="shared" si="1"/>
        <v>0</v>
      </c>
      <c r="J20" s="315">
        <f t="shared" si="2"/>
        <v>0</v>
      </c>
    </row>
    <row r="21" spans="1:10" ht="15.75">
      <c r="A21" s="277" t="s">
        <v>146</v>
      </c>
      <c r="B21" s="313">
        <v>0</v>
      </c>
      <c r="C21" s="313">
        <v>0</v>
      </c>
      <c r="D21" s="314">
        <v>0</v>
      </c>
      <c r="E21" s="279">
        <v>0</v>
      </c>
      <c r="F21" s="315">
        <f t="shared" si="0"/>
        <v>0</v>
      </c>
      <c r="G21" s="316">
        <v>0</v>
      </c>
      <c r="H21" s="316">
        <v>0</v>
      </c>
      <c r="I21" s="282">
        <f t="shared" si="1"/>
        <v>0</v>
      </c>
      <c r="J21" s="315">
        <f t="shared" si="2"/>
        <v>0</v>
      </c>
    </row>
    <row r="22" spans="1:10" ht="15.75">
      <c r="A22" s="277" t="s">
        <v>147</v>
      </c>
      <c r="B22" s="313">
        <v>0</v>
      </c>
      <c r="C22" s="313">
        <v>0</v>
      </c>
      <c r="D22" s="314">
        <v>0</v>
      </c>
      <c r="E22" s="279">
        <v>0</v>
      </c>
      <c r="F22" s="315">
        <f t="shared" si="0"/>
        <v>0</v>
      </c>
      <c r="G22" s="316">
        <v>0</v>
      </c>
      <c r="H22" s="316">
        <v>0</v>
      </c>
      <c r="I22" s="282">
        <f t="shared" si="1"/>
        <v>0</v>
      </c>
      <c r="J22" s="315">
        <f t="shared" si="2"/>
        <v>0</v>
      </c>
    </row>
    <row r="23" spans="1:10" ht="15.75">
      <c r="A23" s="285" t="s">
        <v>155</v>
      </c>
      <c r="B23" s="318">
        <f>SUM(B3:B22)</f>
        <v>25</v>
      </c>
      <c r="C23" s="318">
        <f>SUM(C3:C22)</f>
        <v>25</v>
      </c>
      <c r="D23" s="318">
        <f>SUM(D3:D22)</f>
        <v>52</v>
      </c>
      <c r="E23" s="286">
        <f>SUM(E3:E22)</f>
        <v>77</v>
      </c>
      <c r="F23" s="287">
        <f t="shared" si="0"/>
        <v>1</v>
      </c>
      <c r="G23" s="286">
        <f>SUM(G3:G22)</f>
        <v>67450</v>
      </c>
      <c r="H23" s="286">
        <f>SUM(H3:H22)</f>
        <v>7150</v>
      </c>
      <c r="I23" s="288">
        <f>SUM(I3:I22)</f>
        <v>74600</v>
      </c>
      <c r="J23" s="287">
        <f t="shared" si="2"/>
        <v>1</v>
      </c>
    </row>
    <row r="24" spans="1:10" ht="15.75">
      <c r="A24" s="319"/>
      <c r="B24" s="319"/>
      <c r="C24" s="319"/>
      <c r="D24" s="319"/>
      <c r="E24" s="319"/>
      <c r="F24" s="319"/>
      <c r="G24" s="319"/>
      <c r="H24" s="319"/>
      <c r="I24" s="319"/>
      <c r="J24" s="367"/>
    </row>
    <row r="25" spans="1:10" ht="15.75">
      <c r="A25" s="317"/>
      <c r="B25" s="319"/>
      <c r="C25" s="319"/>
      <c r="D25" s="319"/>
      <c r="E25" s="319"/>
      <c r="F25" s="319"/>
      <c r="G25" s="319"/>
      <c r="H25" s="319"/>
      <c r="I25" s="319"/>
      <c r="J25" s="319"/>
    </row>
    <row r="26" spans="1:10" ht="15.75">
      <c r="A26" s="319"/>
      <c r="B26" s="319"/>
      <c r="C26" s="319"/>
      <c r="D26" s="319"/>
      <c r="E26" s="319"/>
      <c r="F26" s="319"/>
      <c r="G26" s="319"/>
      <c r="H26" s="319"/>
      <c r="I26" s="319"/>
      <c r="J26" s="319"/>
    </row>
  </sheetData>
  <mergeCells count="1">
    <mergeCell ref="A1:J1"/>
  </mergeCells>
  <printOptions/>
  <pageMargins left="0.75" right="0.75" top="1" bottom="1" header="0.4921259845" footer="0.4921259845"/>
  <pageSetup fitToHeight="1" fitToWidth="1" horizontalDpi="600" verticalDpi="600" orientation="landscape" paperSize="9" scale="78" r:id="rId1"/>
</worksheet>
</file>

<file path=xl/worksheets/sheet21.xml><?xml version="1.0" encoding="utf-8"?>
<worksheet xmlns="http://schemas.openxmlformats.org/spreadsheetml/2006/main" xmlns:r="http://schemas.openxmlformats.org/officeDocument/2006/relationships">
  <sheetPr codeName="Hárok26">
    <tabColor indexed="45"/>
    <pageSetUpPr fitToPage="1"/>
  </sheetPr>
  <dimension ref="A1:J24"/>
  <sheetViews>
    <sheetView zoomScaleSheetLayoutView="85" workbookViewId="0" topLeftCell="A2">
      <selection activeCell="J24" sqref="J24"/>
    </sheetView>
  </sheetViews>
  <sheetFormatPr defaultColWidth="9.140625" defaultRowHeight="12.75"/>
  <cols>
    <col min="1" max="1" width="25.7109375" style="284" customWidth="1"/>
    <col min="2" max="10" width="15.7109375" style="284" customWidth="1"/>
    <col min="11" max="16384" width="9.140625" style="284" customWidth="1"/>
  </cols>
  <sheetData>
    <row r="1" spans="1:10" s="290" customFormat="1" ht="75" customHeight="1">
      <c r="A1" s="565" t="s">
        <v>413</v>
      </c>
      <c r="B1" s="565"/>
      <c r="C1" s="565"/>
      <c r="D1" s="565"/>
      <c r="E1" s="565"/>
      <c r="F1" s="565"/>
      <c r="G1" s="565"/>
      <c r="H1" s="565"/>
      <c r="I1" s="565"/>
      <c r="J1" s="565"/>
    </row>
    <row r="2" spans="1:10" s="276" customFormat="1" ht="135.75" customHeight="1">
      <c r="A2" s="320" t="s">
        <v>154</v>
      </c>
      <c r="B2" s="320" t="s">
        <v>369</v>
      </c>
      <c r="C2" s="320" t="s">
        <v>370</v>
      </c>
      <c r="D2" s="320" t="s">
        <v>339</v>
      </c>
      <c r="E2" s="321" t="s">
        <v>340</v>
      </c>
      <c r="F2" s="320" t="s">
        <v>341</v>
      </c>
      <c r="G2" s="320" t="s">
        <v>342</v>
      </c>
      <c r="H2" s="320" t="s">
        <v>343</v>
      </c>
      <c r="I2" s="321" t="s">
        <v>344</v>
      </c>
      <c r="J2" s="320" t="s">
        <v>345</v>
      </c>
    </row>
    <row r="3" spans="1:10" ht="15.75">
      <c r="A3" s="299" t="s">
        <v>60</v>
      </c>
      <c r="B3" s="322">
        <v>8</v>
      </c>
      <c r="C3" s="322">
        <v>8</v>
      </c>
      <c r="D3" s="322">
        <v>21</v>
      </c>
      <c r="E3" s="323">
        <v>29</v>
      </c>
      <c r="F3" s="324">
        <v>0.151</v>
      </c>
      <c r="G3" s="278">
        <v>5268</v>
      </c>
      <c r="H3" s="322">
        <v>0</v>
      </c>
      <c r="I3" s="325">
        <v>5268</v>
      </c>
      <c r="J3" s="324">
        <v>0.18</v>
      </c>
    </row>
    <row r="4" spans="1:10" ht="15.75">
      <c r="A4" s="299" t="s">
        <v>78</v>
      </c>
      <c r="B4" s="322">
        <v>5</v>
      </c>
      <c r="C4" s="322">
        <v>5</v>
      </c>
      <c r="D4" s="322">
        <v>5</v>
      </c>
      <c r="E4" s="323">
        <v>10</v>
      </c>
      <c r="F4" s="324">
        <v>0.052</v>
      </c>
      <c r="G4" s="278">
        <v>1421</v>
      </c>
      <c r="H4" s="322">
        <v>0</v>
      </c>
      <c r="I4" s="325">
        <v>1421</v>
      </c>
      <c r="J4" s="324">
        <v>0.049</v>
      </c>
    </row>
    <row r="5" spans="1:10" ht="15.75">
      <c r="A5" s="277" t="s">
        <v>80</v>
      </c>
      <c r="B5" s="322">
        <v>0</v>
      </c>
      <c r="C5" s="322">
        <v>0</v>
      </c>
      <c r="D5" s="322">
        <v>0</v>
      </c>
      <c r="E5" s="323">
        <v>0</v>
      </c>
      <c r="F5" s="324">
        <v>0</v>
      </c>
      <c r="G5" s="278">
        <v>0</v>
      </c>
      <c r="H5" s="322">
        <v>0</v>
      </c>
      <c r="I5" s="325">
        <v>0</v>
      </c>
      <c r="J5" s="324">
        <v>0</v>
      </c>
    </row>
    <row r="6" spans="1:10" ht="15.75">
      <c r="A6" s="299" t="s">
        <v>87</v>
      </c>
      <c r="B6" s="322">
        <v>2</v>
      </c>
      <c r="C6" s="322">
        <v>2</v>
      </c>
      <c r="D6" s="322">
        <v>0</v>
      </c>
      <c r="E6" s="323">
        <v>2</v>
      </c>
      <c r="F6" s="324">
        <v>0.01</v>
      </c>
      <c r="G6" s="278">
        <v>255</v>
      </c>
      <c r="H6" s="322">
        <v>0</v>
      </c>
      <c r="I6" s="325">
        <v>255</v>
      </c>
      <c r="J6" s="324">
        <v>0.009</v>
      </c>
    </row>
    <row r="7" spans="1:10" ht="15.75">
      <c r="A7" s="299" t="s">
        <v>90</v>
      </c>
      <c r="B7" s="322">
        <v>0</v>
      </c>
      <c r="C7" s="322">
        <v>0</v>
      </c>
      <c r="D7" s="322">
        <v>3</v>
      </c>
      <c r="E7" s="323">
        <v>3</v>
      </c>
      <c r="F7" s="324">
        <v>0.016</v>
      </c>
      <c r="G7" s="278">
        <v>550</v>
      </c>
      <c r="H7" s="322">
        <v>0</v>
      </c>
      <c r="I7" s="325">
        <v>550</v>
      </c>
      <c r="J7" s="324">
        <v>0.019</v>
      </c>
    </row>
    <row r="8" spans="1:10" ht="15.75">
      <c r="A8" s="299" t="s">
        <v>91</v>
      </c>
      <c r="B8" s="322">
        <v>1</v>
      </c>
      <c r="C8" s="322">
        <v>1</v>
      </c>
      <c r="D8" s="322">
        <v>1</v>
      </c>
      <c r="E8" s="323">
        <v>2</v>
      </c>
      <c r="F8" s="324">
        <v>0.01</v>
      </c>
      <c r="G8" s="278">
        <v>500</v>
      </c>
      <c r="H8" s="322">
        <v>0</v>
      </c>
      <c r="I8" s="325">
        <v>500</v>
      </c>
      <c r="J8" s="324">
        <v>0.017</v>
      </c>
    </row>
    <row r="9" spans="1:10" ht="15.75">
      <c r="A9" s="299" t="s">
        <v>159</v>
      </c>
      <c r="B9" s="322">
        <v>0</v>
      </c>
      <c r="C9" s="322">
        <v>0</v>
      </c>
      <c r="D9" s="322">
        <v>1</v>
      </c>
      <c r="E9" s="323">
        <v>1</v>
      </c>
      <c r="F9" s="324">
        <v>0.005</v>
      </c>
      <c r="G9" s="278">
        <v>100</v>
      </c>
      <c r="H9" s="322">
        <v>0</v>
      </c>
      <c r="I9" s="325">
        <v>100</v>
      </c>
      <c r="J9" s="324">
        <v>0.003</v>
      </c>
    </row>
    <row r="10" spans="1:10" ht="15.75">
      <c r="A10" s="299" t="s">
        <v>160</v>
      </c>
      <c r="B10" s="322">
        <v>0</v>
      </c>
      <c r="C10" s="322">
        <v>0</v>
      </c>
      <c r="D10" s="322">
        <v>0</v>
      </c>
      <c r="E10" s="323">
        <v>0</v>
      </c>
      <c r="F10" s="324">
        <v>0</v>
      </c>
      <c r="G10" s="278">
        <v>0</v>
      </c>
      <c r="H10" s="322">
        <v>0</v>
      </c>
      <c r="I10" s="325">
        <v>0</v>
      </c>
      <c r="J10" s="324">
        <v>0</v>
      </c>
    </row>
    <row r="11" spans="1:10" ht="15.75">
      <c r="A11" s="299" t="s">
        <v>101</v>
      </c>
      <c r="B11" s="322">
        <v>18</v>
      </c>
      <c r="C11" s="322">
        <v>17</v>
      </c>
      <c r="D11" s="322">
        <v>41</v>
      </c>
      <c r="E11" s="323">
        <v>58</v>
      </c>
      <c r="F11" s="324">
        <v>0.302</v>
      </c>
      <c r="G11" s="278">
        <v>8875</v>
      </c>
      <c r="H11" s="322">
        <v>0</v>
      </c>
      <c r="I11" s="325">
        <v>8875</v>
      </c>
      <c r="J11" s="324">
        <v>0.303</v>
      </c>
    </row>
    <row r="12" spans="1:10" ht="15.75">
      <c r="A12" s="299" t="s">
        <v>106</v>
      </c>
      <c r="B12" s="322">
        <v>12</v>
      </c>
      <c r="C12" s="322">
        <v>12</v>
      </c>
      <c r="D12" s="322">
        <v>10</v>
      </c>
      <c r="E12" s="323">
        <v>22</v>
      </c>
      <c r="F12" s="324">
        <v>0.115</v>
      </c>
      <c r="G12" s="278">
        <v>4690</v>
      </c>
      <c r="H12" s="322">
        <v>0</v>
      </c>
      <c r="I12" s="325">
        <v>4690</v>
      </c>
      <c r="J12" s="324">
        <v>0.16</v>
      </c>
    </row>
    <row r="13" spans="1:10" ht="15.75">
      <c r="A13" s="299" t="s">
        <v>111</v>
      </c>
      <c r="B13" s="322">
        <v>17</v>
      </c>
      <c r="C13" s="322">
        <v>17</v>
      </c>
      <c r="D13" s="322">
        <v>24</v>
      </c>
      <c r="E13" s="323">
        <v>41</v>
      </c>
      <c r="F13" s="324">
        <v>0.214</v>
      </c>
      <c r="G13" s="278">
        <v>4142</v>
      </c>
      <c r="H13" s="322">
        <v>0</v>
      </c>
      <c r="I13" s="325">
        <v>4142</v>
      </c>
      <c r="J13" s="324">
        <v>0.142</v>
      </c>
    </row>
    <row r="14" spans="1:10" ht="15.75">
      <c r="A14" s="299" t="s">
        <v>115</v>
      </c>
      <c r="B14" s="322">
        <v>0</v>
      </c>
      <c r="C14" s="322">
        <v>0</v>
      </c>
      <c r="D14" s="322">
        <v>1</v>
      </c>
      <c r="E14" s="323">
        <v>1</v>
      </c>
      <c r="F14" s="324">
        <v>0.005</v>
      </c>
      <c r="G14" s="278">
        <v>114</v>
      </c>
      <c r="H14" s="322">
        <v>0</v>
      </c>
      <c r="I14" s="325">
        <v>114</v>
      </c>
      <c r="J14" s="324">
        <v>0.004</v>
      </c>
    </row>
    <row r="15" spans="1:10" ht="15.75">
      <c r="A15" s="277" t="s">
        <v>120</v>
      </c>
      <c r="B15" s="322">
        <v>0</v>
      </c>
      <c r="C15" s="322">
        <v>0</v>
      </c>
      <c r="D15" s="322">
        <v>0</v>
      </c>
      <c r="E15" s="323">
        <v>0</v>
      </c>
      <c r="F15" s="324">
        <v>0</v>
      </c>
      <c r="G15" s="278">
        <v>0</v>
      </c>
      <c r="H15" s="322">
        <v>0</v>
      </c>
      <c r="I15" s="325">
        <v>0</v>
      </c>
      <c r="J15" s="324">
        <v>0</v>
      </c>
    </row>
    <row r="16" spans="1:10" ht="15.75">
      <c r="A16" s="299" t="s">
        <v>127</v>
      </c>
      <c r="B16" s="322">
        <v>5</v>
      </c>
      <c r="C16" s="322">
        <v>5</v>
      </c>
      <c r="D16" s="322">
        <v>9</v>
      </c>
      <c r="E16" s="323">
        <v>14</v>
      </c>
      <c r="F16" s="324">
        <v>0.073</v>
      </c>
      <c r="G16" s="278">
        <v>1756</v>
      </c>
      <c r="H16" s="322">
        <v>0</v>
      </c>
      <c r="I16" s="325">
        <v>1756</v>
      </c>
      <c r="J16" s="324">
        <v>0.06</v>
      </c>
    </row>
    <row r="17" spans="1:10" ht="15.75">
      <c r="A17" s="299" t="s">
        <v>133</v>
      </c>
      <c r="B17" s="322">
        <v>6</v>
      </c>
      <c r="C17" s="322">
        <v>6</v>
      </c>
      <c r="D17" s="322">
        <v>2</v>
      </c>
      <c r="E17" s="323">
        <v>8</v>
      </c>
      <c r="F17" s="324">
        <v>0.042</v>
      </c>
      <c r="G17" s="278">
        <v>1384</v>
      </c>
      <c r="H17" s="322">
        <v>0</v>
      </c>
      <c r="I17" s="325">
        <v>1384</v>
      </c>
      <c r="J17" s="324">
        <v>0.047</v>
      </c>
    </row>
    <row r="18" spans="1:10" ht="15.75">
      <c r="A18" s="277" t="s">
        <v>137</v>
      </c>
      <c r="B18" s="322">
        <v>0</v>
      </c>
      <c r="C18" s="322">
        <v>0</v>
      </c>
      <c r="D18" s="322">
        <v>0</v>
      </c>
      <c r="E18" s="323">
        <v>0</v>
      </c>
      <c r="F18" s="324">
        <v>0</v>
      </c>
      <c r="G18" s="278">
        <v>0</v>
      </c>
      <c r="H18" s="322">
        <v>0</v>
      </c>
      <c r="I18" s="325">
        <v>0</v>
      </c>
      <c r="J18" s="324">
        <v>0</v>
      </c>
    </row>
    <row r="19" spans="1:10" ht="15.75">
      <c r="A19" s="277" t="s">
        <v>141</v>
      </c>
      <c r="B19" s="322">
        <v>0</v>
      </c>
      <c r="C19" s="322">
        <v>0</v>
      </c>
      <c r="D19" s="322">
        <v>0</v>
      </c>
      <c r="E19" s="323">
        <v>0</v>
      </c>
      <c r="F19" s="324">
        <v>0</v>
      </c>
      <c r="G19" s="278">
        <v>0</v>
      </c>
      <c r="H19" s="322">
        <v>0</v>
      </c>
      <c r="I19" s="325">
        <v>0</v>
      </c>
      <c r="J19" s="324">
        <v>0</v>
      </c>
    </row>
    <row r="20" spans="1:10" ht="15.75">
      <c r="A20" s="277" t="s">
        <v>177</v>
      </c>
      <c r="B20" s="322">
        <v>0</v>
      </c>
      <c r="C20" s="322">
        <v>0</v>
      </c>
      <c r="D20" s="322">
        <v>1</v>
      </c>
      <c r="E20" s="323">
        <v>1</v>
      </c>
      <c r="F20" s="324">
        <v>0.005</v>
      </c>
      <c r="G20" s="278">
        <v>195</v>
      </c>
      <c r="H20" s="322">
        <v>0</v>
      </c>
      <c r="I20" s="325">
        <v>195</v>
      </c>
      <c r="J20" s="324">
        <v>0.007</v>
      </c>
    </row>
    <row r="21" spans="1:10" ht="15.75">
      <c r="A21" s="277" t="s">
        <v>146</v>
      </c>
      <c r="B21" s="322">
        <v>0</v>
      </c>
      <c r="C21" s="322">
        <v>0</v>
      </c>
      <c r="D21" s="322">
        <v>0</v>
      </c>
      <c r="E21" s="323">
        <v>0</v>
      </c>
      <c r="F21" s="324">
        <v>0</v>
      </c>
      <c r="G21" s="278">
        <v>0</v>
      </c>
      <c r="H21" s="322">
        <v>0</v>
      </c>
      <c r="I21" s="325">
        <v>0</v>
      </c>
      <c r="J21" s="324">
        <v>0</v>
      </c>
    </row>
    <row r="22" spans="1:10" ht="15.75">
      <c r="A22" s="277" t="s">
        <v>147</v>
      </c>
      <c r="B22" s="322">
        <v>0</v>
      </c>
      <c r="C22" s="322">
        <v>0</v>
      </c>
      <c r="D22" s="322">
        <v>0</v>
      </c>
      <c r="E22" s="323">
        <v>0</v>
      </c>
      <c r="F22" s="324">
        <v>0</v>
      </c>
      <c r="G22" s="278">
        <v>0</v>
      </c>
      <c r="H22" s="322">
        <v>0</v>
      </c>
      <c r="I22" s="325">
        <v>0</v>
      </c>
      <c r="J22" s="324">
        <v>0</v>
      </c>
    </row>
    <row r="23" spans="1:10" ht="15.75">
      <c r="A23" s="285" t="s">
        <v>155</v>
      </c>
      <c r="B23" s="326">
        <v>74</v>
      </c>
      <c r="C23" s="326">
        <v>73</v>
      </c>
      <c r="D23" s="326">
        <v>119</v>
      </c>
      <c r="E23" s="327">
        <v>192</v>
      </c>
      <c r="F23" s="328">
        <v>1</v>
      </c>
      <c r="G23" s="327">
        <v>29250</v>
      </c>
      <c r="H23" s="326">
        <v>0</v>
      </c>
      <c r="I23" s="329">
        <v>29250</v>
      </c>
      <c r="J23" s="328">
        <v>1</v>
      </c>
    </row>
    <row r="24" ht="15.75">
      <c r="J24" s="367"/>
    </row>
  </sheetData>
  <mergeCells count="1">
    <mergeCell ref="A1:J1"/>
  </mergeCells>
  <printOptions/>
  <pageMargins left="0.75" right="0.75" top="1" bottom="1" header="0.4921259845" footer="0.4921259845"/>
  <pageSetup fitToHeight="1" fitToWidth="1" horizontalDpi="600" verticalDpi="600" orientation="landscape" paperSize="9" scale="78" r:id="rId1"/>
</worksheet>
</file>

<file path=xl/worksheets/sheet22.xml><?xml version="1.0" encoding="utf-8"?>
<worksheet xmlns="http://schemas.openxmlformats.org/spreadsheetml/2006/main" xmlns:r="http://schemas.openxmlformats.org/officeDocument/2006/relationships">
  <sheetPr codeName="Hárok39">
    <tabColor indexed="45"/>
    <pageSetUpPr fitToPage="1"/>
  </sheetPr>
  <dimension ref="A1:I24"/>
  <sheetViews>
    <sheetView workbookViewId="0" topLeftCell="A1">
      <selection activeCell="E24" sqref="E24"/>
    </sheetView>
  </sheetViews>
  <sheetFormatPr defaultColWidth="9.140625" defaultRowHeight="12.75"/>
  <cols>
    <col min="1" max="1" width="25.7109375" style="0" customWidth="1"/>
    <col min="2" max="2" width="23.28125" style="0" customWidth="1"/>
    <col min="3" max="3" width="26.140625" style="0" customWidth="1"/>
    <col min="4" max="4" width="30.7109375" style="0" customWidth="1"/>
    <col min="5" max="5" width="23.28125" style="0" customWidth="1"/>
    <col min="6" max="6" width="11.7109375" style="0" customWidth="1"/>
  </cols>
  <sheetData>
    <row r="1" spans="1:9" ht="75" customHeight="1">
      <c r="A1" s="566" t="s">
        <v>414</v>
      </c>
      <c r="B1" s="566"/>
      <c r="C1" s="566"/>
      <c r="D1" s="566"/>
      <c r="E1" s="566"/>
      <c r="F1" s="330"/>
      <c r="G1" s="330"/>
      <c r="H1" s="330"/>
      <c r="I1" s="330"/>
    </row>
    <row r="2" spans="1:5" ht="75" customHeight="1">
      <c r="A2" s="331" t="s">
        <v>407</v>
      </c>
      <c r="B2" s="332" t="s">
        <v>371</v>
      </c>
      <c r="C2" s="331" t="s">
        <v>372</v>
      </c>
      <c r="D2" s="332" t="s">
        <v>373</v>
      </c>
      <c r="E2" s="331" t="s">
        <v>374</v>
      </c>
    </row>
    <row r="3" spans="1:5" ht="15.75">
      <c r="A3" s="333" t="s">
        <v>60</v>
      </c>
      <c r="B3" s="334">
        <v>3</v>
      </c>
      <c r="C3" s="335">
        <f aca="true" t="shared" si="0" ref="C3:C22">+B3/B$23</f>
        <v>0.16666666666666666</v>
      </c>
      <c r="D3" s="336">
        <v>11600</v>
      </c>
      <c r="E3" s="337">
        <f aca="true" t="shared" si="1" ref="E3:E22">+D3/D$23</f>
        <v>0.0886604777576848</v>
      </c>
    </row>
    <row r="4" spans="1:5" ht="15.75">
      <c r="A4" s="338" t="s">
        <v>375</v>
      </c>
      <c r="B4" s="334">
        <v>2</v>
      </c>
      <c r="C4" s="335">
        <f t="shared" si="0"/>
        <v>0.1111111111111111</v>
      </c>
      <c r="D4" s="336">
        <v>3119</v>
      </c>
      <c r="E4" s="337">
        <f t="shared" si="1"/>
        <v>0.023838968114329215</v>
      </c>
    </row>
    <row r="5" spans="1:5" ht="15.75">
      <c r="A5" s="339" t="s">
        <v>376</v>
      </c>
      <c r="B5" s="334">
        <v>1</v>
      </c>
      <c r="C5" s="335">
        <f t="shared" si="0"/>
        <v>0.05555555555555555</v>
      </c>
      <c r="D5" s="340">
        <v>2500</v>
      </c>
      <c r="E5" s="337">
        <f t="shared" si="1"/>
        <v>0.01910786158570793</v>
      </c>
    </row>
    <row r="6" spans="1:5" ht="15.75">
      <c r="A6" s="339" t="s">
        <v>377</v>
      </c>
      <c r="B6" s="334">
        <v>0</v>
      </c>
      <c r="C6" s="335">
        <f t="shared" si="0"/>
        <v>0</v>
      </c>
      <c r="D6" s="340">
        <v>0</v>
      </c>
      <c r="E6" s="337">
        <f t="shared" si="1"/>
        <v>0</v>
      </c>
    </row>
    <row r="7" spans="1:5" ht="15.75">
      <c r="A7" s="339" t="s">
        <v>378</v>
      </c>
      <c r="B7" s="334">
        <v>0</v>
      </c>
      <c r="C7" s="335">
        <f t="shared" si="0"/>
        <v>0</v>
      </c>
      <c r="D7" s="340">
        <v>0</v>
      </c>
      <c r="E7" s="337">
        <f t="shared" si="1"/>
        <v>0</v>
      </c>
    </row>
    <row r="8" spans="1:5" ht="15.75">
      <c r="A8" s="339" t="s">
        <v>379</v>
      </c>
      <c r="B8" s="334">
        <v>0</v>
      </c>
      <c r="C8" s="335">
        <f t="shared" si="0"/>
        <v>0</v>
      </c>
      <c r="D8" s="340">
        <v>0</v>
      </c>
      <c r="E8" s="337">
        <f t="shared" si="1"/>
        <v>0</v>
      </c>
    </row>
    <row r="9" spans="1:5" ht="15.75">
      <c r="A9" s="339" t="s">
        <v>380</v>
      </c>
      <c r="B9" s="334">
        <v>0</v>
      </c>
      <c r="C9" s="335">
        <f t="shared" si="0"/>
        <v>0</v>
      </c>
      <c r="D9" s="340">
        <v>0</v>
      </c>
      <c r="E9" s="337">
        <f t="shared" si="1"/>
        <v>0</v>
      </c>
    </row>
    <row r="10" spans="1:5" ht="15.75">
      <c r="A10" s="339" t="s">
        <v>381</v>
      </c>
      <c r="B10" s="334">
        <v>1</v>
      </c>
      <c r="C10" s="335">
        <f t="shared" si="0"/>
        <v>0.05555555555555555</v>
      </c>
      <c r="D10" s="340">
        <v>435</v>
      </c>
      <c r="E10" s="337">
        <f t="shared" si="1"/>
        <v>0.00332476791591318</v>
      </c>
    </row>
    <row r="11" spans="1:5" ht="15.75">
      <c r="A11" s="338" t="s">
        <v>101</v>
      </c>
      <c r="B11" s="334">
        <v>6</v>
      </c>
      <c r="C11" s="335">
        <f t="shared" si="0"/>
        <v>0.3333333333333333</v>
      </c>
      <c r="D11" s="336">
        <v>101461</v>
      </c>
      <c r="E11" s="337">
        <f t="shared" si="1"/>
        <v>0.775481097739005</v>
      </c>
    </row>
    <row r="12" spans="1:5" ht="15.75">
      <c r="A12" s="339" t="s">
        <v>106</v>
      </c>
      <c r="B12" s="334">
        <v>1</v>
      </c>
      <c r="C12" s="335">
        <f t="shared" si="0"/>
        <v>0.05555555555555555</v>
      </c>
      <c r="D12" s="340">
        <v>7534</v>
      </c>
      <c r="E12" s="337">
        <f t="shared" si="1"/>
        <v>0.05758345167468942</v>
      </c>
    </row>
    <row r="13" spans="1:5" ht="15.75">
      <c r="A13" s="333" t="s">
        <v>382</v>
      </c>
      <c r="B13" s="334">
        <v>4</v>
      </c>
      <c r="C13" s="335">
        <f t="shared" si="0"/>
        <v>0.2222222222222222</v>
      </c>
      <c r="D13" s="336">
        <v>4187.2</v>
      </c>
      <c r="E13" s="337">
        <f t="shared" si="1"/>
        <v>0.0320033752126705</v>
      </c>
    </row>
    <row r="14" spans="1:5" ht="15.75">
      <c r="A14" s="339" t="s">
        <v>383</v>
      </c>
      <c r="B14" s="334">
        <v>0</v>
      </c>
      <c r="C14" s="335">
        <f t="shared" si="0"/>
        <v>0</v>
      </c>
      <c r="D14" s="340">
        <v>0</v>
      </c>
      <c r="E14" s="337">
        <f>+D14/D$23</f>
        <v>0</v>
      </c>
    </row>
    <row r="15" spans="1:5" ht="15.75">
      <c r="A15" s="339" t="s">
        <v>120</v>
      </c>
      <c r="B15" s="334">
        <v>0</v>
      </c>
      <c r="C15" s="335">
        <f t="shared" si="0"/>
        <v>0</v>
      </c>
      <c r="D15" s="340">
        <v>0</v>
      </c>
      <c r="E15" s="337">
        <f t="shared" si="1"/>
        <v>0</v>
      </c>
    </row>
    <row r="16" spans="1:5" ht="15.75">
      <c r="A16" s="333" t="s">
        <v>384</v>
      </c>
      <c r="B16" s="334">
        <v>0</v>
      </c>
      <c r="C16" s="335">
        <f t="shared" si="0"/>
        <v>0</v>
      </c>
      <c r="D16" s="336">
        <v>0</v>
      </c>
      <c r="E16" s="337">
        <f t="shared" si="1"/>
        <v>0</v>
      </c>
    </row>
    <row r="17" spans="1:5" ht="15.75">
      <c r="A17" s="338" t="s">
        <v>133</v>
      </c>
      <c r="B17" s="334">
        <v>0</v>
      </c>
      <c r="C17" s="335">
        <f t="shared" si="0"/>
        <v>0</v>
      </c>
      <c r="D17" s="336">
        <v>0</v>
      </c>
      <c r="E17" s="337">
        <f t="shared" si="1"/>
        <v>0</v>
      </c>
    </row>
    <row r="18" spans="1:5" ht="15.75">
      <c r="A18" s="339" t="s">
        <v>137</v>
      </c>
      <c r="B18" s="334">
        <v>0</v>
      </c>
      <c r="C18" s="335">
        <f t="shared" si="0"/>
        <v>0</v>
      </c>
      <c r="D18" s="340">
        <v>0</v>
      </c>
      <c r="E18" s="337">
        <f t="shared" si="1"/>
        <v>0</v>
      </c>
    </row>
    <row r="19" spans="1:5" ht="15.75">
      <c r="A19" s="339" t="s">
        <v>141</v>
      </c>
      <c r="B19" s="334">
        <v>0</v>
      </c>
      <c r="C19" s="335">
        <f t="shared" si="0"/>
        <v>0</v>
      </c>
      <c r="D19" s="340">
        <v>0</v>
      </c>
      <c r="E19" s="337">
        <f t="shared" si="1"/>
        <v>0</v>
      </c>
    </row>
    <row r="20" spans="1:5" ht="15.75">
      <c r="A20" s="339" t="s">
        <v>385</v>
      </c>
      <c r="B20" s="334">
        <v>0</v>
      </c>
      <c r="C20" s="335">
        <f t="shared" si="0"/>
        <v>0</v>
      </c>
      <c r="D20" s="340">
        <v>0</v>
      </c>
      <c r="E20" s="337">
        <f t="shared" si="1"/>
        <v>0</v>
      </c>
    </row>
    <row r="21" spans="1:5" ht="15.75">
      <c r="A21" s="339" t="s">
        <v>386</v>
      </c>
      <c r="B21" s="334">
        <v>0</v>
      </c>
      <c r="C21" s="335">
        <f t="shared" si="0"/>
        <v>0</v>
      </c>
      <c r="D21" s="340">
        <v>0</v>
      </c>
      <c r="E21" s="337">
        <f t="shared" si="1"/>
        <v>0</v>
      </c>
    </row>
    <row r="22" spans="1:5" ht="15.75">
      <c r="A22" s="339" t="s">
        <v>387</v>
      </c>
      <c r="B22" s="334">
        <v>0</v>
      </c>
      <c r="C22" s="335">
        <f t="shared" si="0"/>
        <v>0</v>
      </c>
      <c r="D22" s="340">
        <v>0</v>
      </c>
      <c r="E22" s="337">
        <f t="shared" si="1"/>
        <v>0</v>
      </c>
    </row>
    <row r="23" spans="1:5" ht="15.75">
      <c r="A23" s="341" t="s">
        <v>408</v>
      </c>
      <c r="B23" s="342">
        <f>SUM(B3:B22)</f>
        <v>18</v>
      </c>
      <c r="C23" s="343">
        <f>+B23/B$23</f>
        <v>1</v>
      </c>
      <c r="D23" s="342">
        <f>SUM(D3:D22)</f>
        <v>130836.2</v>
      </c>
      <c r="E23" s="344">
        <f>+D23/D$23</f>
        <v>1</v>
      </c>
    </row>
    <row r="24" ht="15.75" customHeight="1">
      <c r="E24" s="367"/>
    </row>
  </sheetData>
  <mergeCells count="1">
    <mergeCell ref="A1:E1"/>
  </mergeCells>
  <printOptions/>
  <pageMargins left="0.75" right="0.75" top="1" bottom="1" header="0.4921259845" footer="0.4921259845"/>
  <pageSetup fitToHeight="1" fitToWidth="1" horizontalDpi="600" verticalDpi="600" orientation="landscape" paperSize="9" scale="97" r:id="rId1"/>
</worksheet>
</file>

<file path=xl/worksheets/sheet23.xml><?xml version="1.0" encoding="utf-8"?>
<worksheet xmlns="http://schemas.openxmlformats.org/spreadsheetml/2006/main" xmlns:r="http://schemas.openxmlformats.org/officeDocument/2006/relationships">
  <sheetPr codeName="Hárok29">
    <tabColor indexed="45"/>
    <pageSetUpPr fitToPage="1"/>
  </sheetPr>
  <dimension ref="A1:F12"/>
  <sheetViews>
    <sheetView workbookViewId="0" topLeftCell="A1">
      <selection activeCell="D12" sqref="D12"/>
    </sheetView>
  </sheetViews>
  <sheetFormatPr defaultColWidth="9.140625" defaultRowHeight="12.75"/>
  <cols>
    <col min="1" max="1" width="60.7109375" style="319" customWidth="1"/>
    <col min="2" max="4" width="23.28125" style="319" customWidth="1"/>
    <col min="5" max="16384" width="9.140625" style="319" customWidth="1"/>
  </cols>
  <sheetData>
    <row r="1" spans="1:4" s="345" customFormat="1" ht="75" customHeight="1">
      <c r="A1" s="563" t="s">
        <v>415</v>
      </c>
      <c r="B1" s="563"/>
      <c r="C1" s="563"/>
      <c r="D1" s="563"/>
    </row>
    <row r="2" spans="1:4" s="346" customFormat="1" ht="120" customHeight="1">
      <c r="A2" s="293" t="s">
        <v>388</v>
      </c>
      <c r="B2" s="294" t="s">
        <v>389</v>
      </c>
      <c r="C2" s="293" t="s">
        <v>390</v>
      </c>
      <c r="D2" s="294" t="s">
        <v>391</v>
      </c>
    </row>
    <row r="3" spans="1:4" s="345" customFormat="1" ht="15.75" customHeight="1">
      <c r="A3" s="347" t="s">
        <v>392</v>
      </c>
      <c r="B3" s="348">
        <v>16658.2</v>
      </c>
      <c r="C3" s="349">
        <v>20700</v>
      </c>
      <c r="D3" s="350">
        <f>+B3/C3</f>
        <v>0.804743961352657</v>
      </c>
    </row>
    <row r="4" spans="1:4" s="345" customFormat="1" ht="15.75">
      <c r="A4" s="347" t="s">
        <v>393</v>
      </c>
      <c r="B4" s="348">
        <v>0</v>
      </c>
      <c r="C4" s="349">
        <v>0</v>
      </c>
      <c r="D4" s="350">
        <v>0</v>
      </c>
    </row>
    <row r="5" spans="1:4" s="345" customFormat="1" ht="15.75">
      <c r="A5" s="347" t="s">
        <v>394</v>
      </c>
      <c r="B5" s="348">
        <v>2914</v>
      </c>
      <c r="C5" s="349">
        <v>22250</v>
      </c>
      <c r="D5" s="350">
        <f aca="true" t="shared" si="0" ref="D5:D10">+B5/C5</f>
        <v>0.13096629213483146</v>
      </c>
    </row>
    <row r="6" spans="1:4" s="345" customFormat="1" ht="15.75">
      <c r="A6" s="351" t="s">
        <v>395</v>
      </c>
      <c r="B6" s="348">
        <v>11134</v>
      </c>
      <c r="C6" s="349">
        <v>63893</v>
      </c>
      <c r="D6" s="350">
        <f>+B6/C6</f>
        <v>0.17426009108979074</v>
      </c>
    </row>
    <row r="7" spans="1:6" s="345" customFormat="1" ht="15.75">
      <c r="A7" s="347" t="s">
        <v>396</v>
      </c>
      <c r="B7" s="348">
        <v>17006</v>
      </c>
      <c r="C7" s="349">
        <v>17006</v>
      </c>
      <c r="D7" s="350">
        <f t="shared" si="0"/>
        <v>1</v>
      </c>
      <c r="F7" s="352"/>
    </row>
    <row r="8" spans="1:4" s="345" customFormat="1" ht="31.5">
      <c r="A8" s="347" t="s">
        <v>397</v>
      </c>
      <c r="B8" s="348">
        <v>0</v>
      </c>
      <c r="C8" s="349">
        <v>24000</v>
      </c>
      <c r="D8" s="350">
        <f t="shared" si="0"/>
        <v>0</v>
      </c>
    </row>
    <row r="9" spans="1:4" s="345" customFormat="1" ht="31.5">
      <c r="A9" s="347" t="s">
        <v>398</v>
      </c>
      <c r="B9" s="348">
        <v>65124</v>
      </c>
      <c r="C9" s="349">
        <v>116320</v>
      </c>
      <c r="D9" s="350">
        <f>+B9/C9</f>
        <v>0.5598693259972489</v>
      </c>
    </row>
    <row r="10" spans="1:4" s="345" customFormat="1" ht="15.75">
      <c r="A10" s="347" t="s">
        <v>399</v>
      </c>
      <c r="B10" s="348">
        <v>18000</v>
      </c>
      <c r="C10" s="349">
        <v>25490</v>
      </c>
      <c r="D10" s="350">
        <f t="shared" si="0"/>
        <v>0.7061592781482935</v>
      </c>
    </row>
    <row r="11" spans="1:4" s="345" customFormat="1" ht="15.75">
      <c r="A11" s="353" t="s">
        <v>155</v>
      </c>
      <c r="B11" s="318">
        <f>SUM(B3:B10)</f>
        <v>130836.2</v>
      </c>
      <c r="C11" s="318">
        <f>SUM(C3:C10)</f>
        <v>289659</v>
      </c>
      <c r="D11" s="354">
        <f>+B11/C11</f>
        <v>0.4516904359954291</v>
      </c>
    </row>
    <row r="12" ht="15.75" customHeight="1">
      <c r="D12" s="367"/>
    </row>
  </sheetData>
  <mergeCells count="1">
    <mergeCell ref="A1:D1"/>
  </mergeCells>
  <printOptions/>
  <pageMargins left="0.75" right="0.75" top="1" bottom="1" header="0.4921259845" footer="0.4921259845"/>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Hárok30">
    <tabColor indexed="45"/>
    <pageSetUpPr fitToPage="1"/>
  </sheetPr>
  <dimension ref="A1:G24"/>
  <sheetViews>
    <sheetView workbookViewId="0" topLeftCell="A1">
      <selection activeCell="G3" sqref="G3"/>
    </sheetView>
  </sheetViews>
  <sheetFormatPr defaultColWidth="9.140625" defaultRowHeight="12.75"/>
  <cols>
    <col min="1" max="1" width="25.7109375" style="361" customWidth="1"/>
    <col min="2" max="7" width="23.28125" style="361" customWidth="1"/>
    <col min="8" max="16384" width="9.140625" style="361" customWidth="1"/>
  </cols>
  <sheetData>
    <row r="1" spans="1:7" s="355" customFormat="1" ht="75" customHeight="1">
      <c r="A1" s="567" t="s">
        <v>669</v>
      </c>
      <c r="B1" s="567"/>
      <c r="C1" s="567"/>
      <c r="D1" s="567"/>
      <c r="E1" s="567"/>
      <c r="F1" s="567"/>
      <c r="G1" s="567"/>
    </row>
    <row r="2" spans="1:7" s="356" customFormat="1" ht="120" customHeight="1">
      <c r="A2" s="331" t="s">
        <v>407</v>
      </c>
      <c r="B2" s="331" t="s">
        <v>664</v>
      </c>
      <c r="C2" s="331" t="s">
        <v>665</v>
      </c>
      <c r="D2" s="332" t="s">
        <v>666</v>
      </c>
      <c r="E2" s="331" t="s">
        <v>656</v>
      </c>
      <c r="F2" s="332" t="s">
        <v>400</v>
      </c>
      <c r="G2" s="331" t="s">
        <v>401</v>
      </c>
    </row>
    <row r="3" spans="1:7" s="358" customFormat="1" ht="15.75">
      <c r="A3" s="333" t="s">
        <v>60</v>
      </c>
      <c r="B3" s="546">
        <v>13</v>
      </c>
      <c r="C3" s="546">
        <f>D3-B3</f>
        <v>39</v>
      </c>
      <c r="D3" s="547">
        <v>52</v>
      </c>
      <c r="E3" s="337">
        <f aca="true" t="shared" si="0" ref="E3:E22">+D3/D$23</f>
        <v>0.2736842105263158</v>
      </c>
      <c r="F3" s="357">
        <v>53658</v>
      </c>
      <c r="G3" s="337">
        <f aca="true" t="shared" si="1" ref="G3:G23">+F3/F$23</f>
        <v>0.2567208738212456</v>
      </c>
    </row>
    <row r="4" spans="1:7" s="358" customFormat="1" ht="15.75">
      <c r="A4" s="338" t="s">
        <v>375</v>
      </c>
      <c r="B4" s="546">
        <v>5</v>
      </c>
      <c r="C4" s="546">
        <f>D4-B4</f>
        <v>1</v>
      </c>
      <c r="D4" s="547">
        <v>6</v>
      </c>
      <c r="E4" s="337">
        <f t="shared" si="0"/>
        <v>0.031578947368421054</v>
      </c>
      <c r="F4" s="357">
        <v>10685</v>
      </c>
      <c r="G4" s="337">
        <f t="shared" si="1"/>
        <v>0.051121222124939594</v>
      </c>
    </row>
    <row r="5" spans="1:7" s="358" customFormat="1" ht="15.75">
      <c r="A5" s="339" t="s">
        <v>376</v>
      </c>
      <c r="B5" s="548">
        <v>1</v>
      </c>
      <c r="C5" s="546">
        <v>0</v>
      </c>
      <c r="D5" s="547">
        <v>1</v>
      </c>
      <c r="E5" s="337">
        <f t="shared" si="0"/>
        <v>0.005263157894736842</v>
      </c>
      <c r="F5" s="348">
        <v>1316</v>
      </c>
      <c r="G5" s="337">
        <f t="shared" si="1"/>
        <v>0.006296259084363174</v>
      </c>
    </row>
    <row r="6" spans="1:7" s="358" customFormat="1" ht="15.75">
      <c r="A6" s="339" t="s">
        <v>377</v>
      </c>
      <c r="B6" s="548">
        <v>0</v>
      </c>
      <c r="C6" s="546">
        <v>0</v>
      </c>
      <c r="D6" s="547">
        <v>0</v>
      </c>
      <c r="E6" s="337">
        <f t="shared" si="0"/>
        <v>0</v>
      </c>
      <c r="F6" s="348">
        <v>0</v>
      </c>
      <c r="G6" s="337">
        <f t="shared" si="1"/>
        <v>0</v>
      </c>
    </row>
    <row r="7" spans="1:7" s="358" customFormat="1" ht="15.75">
      <c r="A7" s="339" t="s">
        <v>378</v>
      </c>
      <c r="B7" s="548">
        <v>5</v>
      </c>
      <c r="C7" s="546">
        <v>0</v>
      </c>
      <c r="D7" s="547">
        <v>5</v>
      </c>
      <c r="E7" s="337">
        <f t="shared" si="0"/>
        <v>0.02631578947368421</v>
      </c>
      <c r="F7" s="348">
        <v>8653</v>
      </c>
      <c r="G7" s="337">
        <f t="shared" si="1"/>
        <v>0.04139933879710831</v>
      </c>
    </row>
    <row r="8" spans="1:7" s="358" customFormat="1" ht="15.75">
      <c r="A8" s="339" t="s">
        <v>379</v>
      </c>
      <c r="B8" s="548">
        <v>1</v>
      </c>
      <c r="C8" s="546">
        <v>0</v>
      </c>
      <c r="D8" s="547">
        <v>1</v>
      </c>
      <c r="E8" s="337">
        <f t="shared" si="0"/>
        <v>0.005263157894736842</v>
      </c>
      <c r="F8" s="348">
        <v>1350</v>
      </c>
      <c r="G8" s="337">
        <f t="shared" si="1"/>
        <v>0.006458928392013894</v>
      </c>
    </row>
    <row r="9" spans="1:7" s="358" customFormat="1" ht="15.75">
      <c r="A9" s="339" t="s">
        <v>380</v>
      </c>
      <c r="B9" s="548">
        <v>1</v>
      </c>
      <c r="C9" s="546">
        <f>D9-B9</f>
        <v>3</v>
      </c>
      <c r="D9" s="547">
        <v>4</v>
      </c>
      <c r="E9" s="337">
        <f t="shared" si="0"/>
        <v>0.021052631578947368</v>
      </c>
      <c r="F9" s="348">
        <v>4668</v>
      </c>
      <c r="G9" s="337">
        <f t="shared" si="1"/>
        <v>0.022333539062163597</v>
      </c>
    </row>
    <row r="10" spans="1:7" s="358" customFormat="1" ht="15.75">
      <c r="A10" s="339" t="s">
        <v>381</v>
      </c>
      <c r="B10" s="548">
        <v>0</v>
      </c>
      <c r="C10" s="546">
        <v>0</v>
      </c>
      <c r="D10" s="547">
        <v>0</v>
      </c>
      <c r="E10" s="337">
        <f t="shared" si="0"/>
        <v>0</v>
      </c>
      <c r="F10" s="348">
        <v>0</v>
      </c>
      <c r="G10" s="337">
        <f t="shared" si="1"/>
        <v>0</v>
      </c>
    </row>
    <row r="11" spans="1:7" s="358" customFormat="1" ht="15.75">
      <c r="A11" s="338" t="s">
        <v>101</v>
      </c>
      <c r="B11" s="546">
        <v>25</v>
      </c>
      <c r="C11" s="546">
        <f>D11-B11</f>
        <v>64</v>
      </c>
      <c r="D11" s="547">
        <v>89</v>
      </c>
      <c r="E11" s="337">
        <f t="shared" si="0"/>
        <v>0.46842105263157896</v>
      </c>
      <c r="F11" s="357">
        <v>100919</v>
      </c>
      <c r="G11" s="337">
        <f t="shared" si="1"/>
        <v>0.48283599584714826</v>
      </c>
    </row>
    <row r="12" spans="1:7" s="358" customFormat="1" ht="15.75">
      <c r="A12" s="339" t="s">
        <v>106</v>
      </c>
      <c r="B12" s="548">
        <v>1</v>
      </c>
      <c r="C12" s="546">
        <f>D12-B12</f>
        <v>1</v>
      </c>
      <c r="D12" s="547">
        <v>2</v>
      </c>
      <c r="E12" s="337">
        <f t="shared" si="0"/>
        <v>0.010526315789473684</v>
      </c>
      <c r="F12" s="348">
        <v>3470</v>
      </c>
      <c r="G12" s="337">
        <f t="shared" si="1"/>
        <v>0.016601838163176452</v>
      </c>
    </row>
    <row r="13" spans="1:7" s="358" customFormat="1" ht="15.75">
      <c r="A13" s="333" t="s">
        <v>382</v>
      </c>
      <c r="B13" s="546">
        <v>14</v>
      </c>
      <c r="C13" s="546">
        <f>D13-B13</f>
        <v>12</v>
      </c>
      <c r="D13" s="547">
        <v>26</v>
      </c>
      <c r="E13" s="337">
        <f t="shared" si="0"/>
        <v>0.1368421052631579</v>
      </c>
      <c r="F13" s="357">
        <v>20242</v>
      </c>
      <c r="G13" s="337">
        <f t="shared" si="1"/>
        <v>0.09684565074899647</v>
      </c>
    </row>
    <row r="14" spans="1:7" s="358" customFormat="1" ht="15.75">
      <c r="A14" s="339" t="s">
        <v>383</v>
      </c>
      <c r="B14" s="548">
        <v>0</v>
      </c>
      <c r="C14" s="546">
        <f>D14-B14</f>
        <v>3</v>
      </c>
      <c r="D14" s="547">
        <v>3</v>
      </c>
      <c r="E14" s="337">
        <f t="shared" si="0"/>
        <v>0.015789473684210527</v>
      </c>
      <c r="F14" s="348">
        <v>4052</v>
      </c>
      <c r="G14" s="337">
        <f t="shared" si="1"/>
        <v>0.019386353958844665</v>
      </c>
    </row>
    <row r="15" spans="1:7" s="358" customFormat="1" ht="15.75">
      <c r="A15" s="339" t="s">
        <v>120</v>
      </c>
      <c r="B15" s="548">
        <v>0</v>
      </c>
      <c r="C15" s="546">
        <v>0</v>
      </c>
      <c r="D15" s="547">
        <v>0</v>
      </c>
      <c r="E15" s="337">
        <f t="shared" si="0"/>
        <v>0</v>
      </c>
      <c r="F15" s="348">
        <v>0</v>
      </c>
      <c r="G15" s="337">
        <f t="shared" si="1"/>
        <v>0</v>
      </c>
    </row>
    <row r="16" spans="1:7" s="358" customFormat="1" ht="15.75">
      <c r="A16" s="333" t="s">
        <v>384</v>
      </c>
      <c r="B16" s="548">
        <v>0</v>
      </c>
      <c r="C16" s="546">
        <v>0</v>
      </c>
      <c r="D16" s="547">
        <v>0</v>
      </c>
      <c r="E16" s="337">
        <f t="shared" si="0"/>
        <v>0</v>
      </c>
      <c r="F16" s="357">
        <v>0</v>
      </c>
      <c r="G16" s="337">
        <f t="shared" si="1"/>
        <v>0</v>
      </c>
    </row>
    <row r="17" spans="1:7" s="358" customFormat="1" ht="15.75">
      <c r="A17" s="338" t="s">
        <v>133</v>
      </c>
      <c r="B17" s="546">
        <v>0</v>
      </c>
      <c r="C17" s="546">
        <v>0</v>
      </c>
      <c r="D17" s="547">
        <v>0</v>
      </c>
      <c r="E17" s="337">
        <f t="shared" si="0"/>
        <v>0</v>
      </c>
      <c r="F17" s="357">
        <v>0</v>
      </c>
      <c r="G17" s="337">
        <f t="shared" si="1"/>
        <v>0</v>
      </c>
    </row>
    <row r="18" spans="1:7" s="358" customFormat="1" ht="15.75">
      <c r="A18" s="339" t="s">
        <v>137</v>
      </c>
      <c r="B18" s="548">
        <v>0</v>
      </c>
      <c r="C18" s="546">
        <v>0</v>
      </c>
      <c r="D18" s="547">
        <v>0</v>
      </c>
      <c r="E18" s="337">
        <f t="shared" si="0"/>
        <v>0</v>
      </c>
      <c r="F18" s="348">
        <v>0</v>
      </c>
      <c r="G18" s="337">
        <f t="shared" si="1"/>
        <v>0</v>
      </c>
    </row>
    <row r="19" spans="1:7" s="358" customFormat="1" ht="15.75">
      <c r="A19" s="339" t="s">
        <v>141</v>
      </c>
      <c r="B19" s="548">
        <v>0</v>
      </c>
      <c r="C19" s="546">
        <v>0</v>
      </c>
      <c r="D19" s="547">
        <v>0</v>
      </c>
      <c r="E19" s="337">
        <f t="shared" si="0"/>
        <v>0</v>
      </c>
      <c r="F19" s="348">
        <v>0</v>
      </c>
      <c r="G19" s="337">
        <f t="shared" si="1"/>
        <v>0</v>
      </c>
    </row>
    <row r="20" spans="1:7" s="358" customFormat="1" ht="15.75">
      <c r="A20" s="339" t="s">
        <v>385</v>
      </c>
      <c r="B20" s="548">
        <v>0</v>
      </c>
      <c r="C20" s="546">
        <v>0</v>
      </c>
      <c r="D20" s="547">
        <v>0</v>
      </c>
      <c r="E20" s="337">
        <f t="shared" si="0"/>
        <v>0</v>
      </c>
      <c r="F20" s="348">
        <v>0</v>
      </c>
      <c r="G20" s="337">
        <f t="shared" si="1"/>
        <v>0</v>
      </c>
    </row>
    <row r="21" spans="1:7" s="358" customFormat="1" ht="15.75">
      <c r="A21" s="339" t="s">
        <v>386</v>
      </c>
      <c r="B21" s="548">
        <v>1</v>
      </c>
      <c r="C21" s="546">
        <v>0</v>
      </c>
      <c r="D21" s="547">
        <v>1</v>
      </c>
      <c r="E21" s="337">
        <f t="shared" si="0"/>
        <v>0.005263157894736842</v>
      </c>
      <c r="F21" s="348">
        <v>0</v>
      </c>
      <c r="G21" s="337">
        <f t="shared" si="1"/>
        <v>0</v>
      </c>
    </row>
    <row r="22" spans="1:7" s="358" customFormat="1" ht="15.75">
      <c r="A22" s="339" t="s">
        <v>387</v>
      </c>
      <c r="B22" s="548">
        <v>0</v>
      </c>
      <c r="C22" s="546">
        <v>0</v>
      </c>
      <c r="D22" s="547">
        <v>0</v>
      </c>
      <c r="E22" s="337">
        <f t="shared" si="0"/>
        <v>0</v>
      </c>
      <c r="F22" s="348">
        <v>0</v>
      </c>
      <c r="G22" s="337">
        <f t="shared" si="1"/>
        <v>0</v>
      </c>
    </row>
    <row r="23" spans="1:7" ht="15.75">
      <c r="A23" s="341" t="s">
        <v>408</v>
      </c>
      <c r="B23" s="342">
        <f>SUM(B3:B22)</f>
        <v>67</v>
      </c>
      <c r="C23" s="342">
        <f>SUM(C3:C22)</f>
        <v>123</v>
      </c>
      <c r="D23" s="359">
        <f>SUM(D3:D22)</f>
        <v>190</v>
      </c>
      <c r="E23" s="344">
        <f>+D23/D$23</f>
        <v>1</v>
      </c>
      <c r="F23" s="360">
        <f>SUM(F3:F22)</f>
        <v>209013</v>
      </c>
      <c r="G23" s="344">
        <f t="shared" si="1"/>
        <v>1</v>
      </c>
    </row>
    <row r="24" ht="15.75">
      <c r="G24" s="367"/>
    </row>
  </sheetData>
  <mergeCells count="1">
    <mergeCell ref="A1:G1"/>
  </mergeCells>
  <printOptions/>
  <pageMargins left="0.75" right="0.75" top="1" bottom="1" header="0.4921259845" footer="0.4921259845"/>
  <pageSetup fitToHeight="1" fitToWidth="1" horizontalDpi="600" verticalDpi="600" orientation="landscape" paperSize="9" scale="79" r:id="rId1"/>
</worksheet>
</file>

<file path=xl/worksheets/sheet25.xml><?xml version="1.0" encoding="utf-8"?>
<worksheet xmlns="http://schemas.openxmlformats.org/spreadsheetml/2006/main" xmlns:r="http://schemas.openxmlformats.org/officeDocument/2006/relationships">
  <sheetPr codeName="Hárok40">
    <tabColor indexed="45"/>
    <pageSetUpPr fitToPage="1"/>
  </sheetPr>
  <dimension ref="A1:G9"/>
  <sheetViews>
    <sheetView workbookViewId="0" topLeftCell="A1">
      <selection activeCell="A1" sqref="A1:C1"/>
    </sheetView>
  </sheetViews>
  <sheetFormatPr defaultColWidth="9.140625" defaultRowHeight="12.75"/>
  <cols>
    <col min="1" max="1" width="53.28125" style="361" customWidth="1"/>
    <col min="2" max="3" width="30.7109375" style="361" customWidth="1"/>
    <col min="4" max="4" width="18.140625" style="361" customWidth="1"/>
    <col min="5" max="5" width="16.421875" style="361" customWidth="1"/>
    <col min="6" max="16384" width="9.140625" style="361" customWidth="1"/>
  </cols>
  <sheetData>
    <row r="1" spans="1:7" s="355" customFormat="1" ht="75" customHeight="1">
      <c r="A1" s="567" t="s">
        <v>668</v>
      </c>
      <c r="B1" s="567"/>
      <c r="C1" s="567"/>
      <c r="D1" s="549"/>
      <c r="E1" s="549"/>
      <c r="F1" s="549"/>
      <c r="G1" s="549"/>
    </row>
    <row r="2" spans="1:3" s="356" customFormat="1" ht="90" customHeight="1">
      <c r="A2" s="331" t="s">
        <v>667</v>
      </c>
      <c r="B2" s="331" t="s">
        <v>657</v>
      </c>
      <c r="C2" s="331" t="s">
        <v>658</v>
      </c>
    </row>
    <row r="3" spans="1:3" ht="15.75">
      <c r="A3" s="550" t="s">
        <v>659</v>
      </c>
      <c r="B3" s="551">
        <v>209013</v>
      </c>
      <c r="C3" s="552">
        <f aca="true" t="shared" si="0" ref="C3:C8">+B3/$B$8</f>
        <v>0.36084629594461615</v>
      </c>
    </row>
    <row r="4" spans="1:3" ht="15.75">
      <c r="A4" s="553" t="s">
        <v>660</v>
      </c>
      <c r="B4" s="554">
        <v>72776</v>
      </c>
      <c r="C4" s="555">
        <f t="shared" si="0"/>
        <v>0.12564266353607376</v>
      </c>
    </row>
    <row r="5" spans="1:3" ht="15.75">
      <c r="A5" s="338" t="s">
        <v>661</v>
      </c>
      <c r="B5" s="554">
        <v>177259</v>
      </c>
      <c r="C5" s="555">
        <f t="shared" si="0"/>
        <v>0.3060252404053657</v>
      </c>
    </row>
    <row r="6" spans="1:3" ht="15.75">
      <c r="A6" s="338" t="s">
        <v>662</v>
      </c>
      <c r="B6" s="554">
        <v>115298</v>
      </c>
      <c r="C6" s="555">
        <f t="shared" si="0"/>
        <v>0.1990539164062635</v>
      </c>
    </row>
    <row r="7" spans="1:3" ht="16.5" thickBot="1">
      <c r="A7" s="556" t="s">
        <v>663</v>
      </c>
      <c r="B7" s="557">
        <v>4884</v>
      </c>
      <c r="C7" s="558">
        <f t="shared" si="0"/>
        <v>0.008431883707680887</v>
      </c>
    </row>
    <row r="8" spans="1:3" ht="16.5" thickBot="1">
      <c r="A8" s="559" t="s">
        <v>408</v>
      </c>
      <c r="B8" s="560">
        <f>SUM(B3:B7)</f>
        <v>579230</v>
      </c>
      <c r="C8" s="561">
        <f t="shared" si="0"/>
        <v>1</v>
      </c>
    </row>
    <row r="9" ht="15.75">
      <c r="C9" s="367"/>
    </row>
  </sheetData>
  <mergeCells count="1">
    <mergeCell ref="A1:C1"/>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9" r:id="rId2"/>
  <drawing r:id="rId1"/>
</worksheet>
</file>

<file path=xl/worksheets/sheet26.xml><?xml version="1.0" encoding="utf-8"?>
<worksheet xmlns="http://schemas.openxmlformats.org/spreadsheetml/2006/main" xmlns:r="http://schemas.openxmlformats.org/officeDocument/2006/relationships">
  <sheetPr codeName="Hárok43">
    <tabColor indexed="45"/>
    <pageSetUpPr fitToPage="1"/>
  </sheetPr>
  <dimension ref="A1:I24"/>
  <sheetViews>
    <sheetView workbookViewId="0" topLeftCell="A1">
      <selection activeCell="H16" sqref="H16"/>
    </sheetView>
  </sheetViews>
  <sheetFormatPr defaultColWidth="9.140625" defaultRowHeight="12.75"/>
  <cols>
    <col min="1" max="1" width="25.7109375" style="0" customWidth="1"/>
    <col min="2" max="5" width="27.57421875" style="0" customWidth="1"/>
  </cols>
  <sheetData>
    <row r="1" spans="1:5" ht="75" customHeight="1">
      <c r="A1" s="567" t="s">
        <v>416</v>
      </c>
      <c r="B1" s="567"/>
      <c r="C1" s="567"/>
      <c r="D1" s="567"/>
      <c r="E1" s="567"/>
    </row>
    <row r="2" spans="1:5" ht="90" customHeight="1">
      <c r="A2" s="331" t="s">
        <v>407</v>
      </c>
      <c r="B2" s="332" t="s">
        <v>402</v>
      </c>
      <c r="C2" s="331" t="s">
        <v>403</v>
      </c>
      <c r="D2" s="332" t="s">
        <v>404</v>
      </c>
      <c r="E2" s="331" t="s">
        <v>405</v>
      </c>
    </row>
    <row r="3" spans="1:9" ht="15.75">
      <c r="A3" s="333" t="s">
        <v>60</v>
      </c>
      <c r="B3" s="334">
        <v>66</v>
      </c>
      <c r="C3" s="362">
        <f aca="true" t="shared" si="0" ref="C3:C23">+B3/B$23</f>
        <v>0.27385892116182575</v>
      </c>
      <c r="D3" s="451">
        <v>38804.48106030002</v>
      </c>
      <c r="E3" s="362">
        <f aca="true" t="shared" si="1" ref="E3:E23">+D3/D$23</f>
        <v>0.3235999545467546</v>
      </c>
      <c r="G3" s="363"/>
      <c r="I3" s="363"/>
    </row>
    <row r="4" spans="1:9" ht="15.75">
      <c r="A4" s="338" t="s">
        <v>375</v>
      </c>
      <c r="B4" s="334">
        <v>15</v>
      </c>
      <c r="C4" s="362">
        <f t="shared" si="0"/>
        <v>0.06224066390041494</v>
      </c>
      <c r="D4" s="451">
        <v>7637.263162000001</v>
      </c>
      <c r="E4" s="362">
        <f t="shared" si="1"/>
        <v>0.06368898499748925</v>
      </c>
      <c r="G4" s="363"/>
      <c r="I4" s="363"/>
    </row>
    <row r="5" spans="1:9" ht="15.75">
      <c r="A5" s="339" t="s">
        <v>376</v>
      </c>
      <c r="B5" s="334">
        <v>0</v>
      </c>
      <c r="C5" s="362">
        <f t="shared" si="0"/>
        <v>0</v>
      </c>
      <c r="D5" s="451">
        <v>0</v>
      </c>
      <c r="E5" s="362">
        <f t="shared" si="1"/>
        <v>0</v>
      </c>
      <c r="G5" s="363"/>
      <c r="I5" s="363"/>
    </row>
    <row r="6" spans="1:9" ht="15.75">
      <c r="A6" s="339" t="s">
        <v>377</v>
      </c>
      <c r="B6" s="334">
        <v>2</v>
      </c>
      <c r="C6" s="362">
        <f t="shared" si="0"/>
        <v>0.008298755186721992</v>
      </c>
      <c r="D6" s="451">
        <v>567.328</v>
      </c>
      <c r="E6" s="362">
        <f t="shared" si="1"/>
        <v>0.004731085431288635</v>
      </c>
      <c r="G6" s="363"/>
      <c r="I6" s="363"/>
    </row>
    <row r="7" spans="1:9" ht="15.75">
      <c r="A7" s="339" t="s">
        <v>378</v>
      </c>
      <c r="B7" s="334">
        <v>5</v>
      </c>
      <c r="C7" s="362">
        <f t="shared" si="0"/>
        <v>0.02074688796680498</v>
      </c>
      <c r="D7" s="451">
        <v>1754.650524</v>
      </c>
      <c r="E7" s="362">
        <f t="shared" si="1"/>
        <v>0.014632455177779643</v>
      </c>
      <c r="G7" s="363"/>
      <c r="I7" s="363"/>
    </row>
    <row r="8" spans="1:9" ht="15.75">
      <c r="A8" s="339" t="s">
        <v>379</v>
      </c>
      <c r="B8" s="334">
        <v>2</v>
      </c>
      <c r="C8" s="362">
        <f t="shared" si="0"/>
        <v>0.008298755186721992</v>
      </c>
      <c r="D8" s="451">
        <v>2269.312</v>
      </c>
      <c r="E8" s="362">
        <f t="shared" si="1"/>
        <v>0.01892434172515454</v>
      </c>
      <c r="G8" s="363"/>
      <c r="H8" s="364"/>
      <c r="I8" s="363"/>
    </row>
    <row r="9" spans="1:9" ht="15.75">
      <c r="A9" s="339" t="s">
        <v>380</v>
      </c>
      <c r="B9" s="334">
        <v>4</v>
      </c>
      <c r="C9" s="362">
        <f t="shared" si="0"/>
        <v>0.016597510373443983</v>
      </c>
      <c r="D9" s="451">
        <v>566.492</v>
      </c>
      <c r="E9" s="362">
        <f t="shared" si="1"/>
        <v>0.004724113825056337</v>
      </c>
      <c r="G9" s="363"/>
      <c r="I9" s="363"/>
    </row>
    <row r="10" spans="1:9" ht="15.75">
      <c r="A10" s="339" t="s">
        <v>381</v>
      </c>
      <c r="B10" s="334">
        <v>6</v>
      </c>
      <c r="C10" s="362">
        <f t="shared" si="0"/>
        <v>0.024896265560165973</v>
      </c>
      <c r="D10" s="451">
        <v>0</v>
      </c>
      <c r="E10" s="362">
        <f t="shared" si="1"/>
        <v>0</v>
      </c>
      <c r="G10" s="363"/>
      <c r="I10" s="363"/>
    </row>
    <row r="11" spans="1:9" ht="15.75">
      <c r="A11" s="338" t="s">
        <v>101</v>
      </c>
      <c r="B11" s="334">
        <v>63</v>
      </c>
      <c r="C11" s="362">
        <f t="shared" si="0"/>
        <v>0.26141078838174275</v>
      </c>
      <c r="D11" s="451">
        <v>29050.918497389997</v>
      </c>
      <c r="E11" s="362">
        <f t="shared" si="1"/>
        <v>0.24226263690238337</v>
      </c>
      <c r="G11" s="363"/>
      <c r="I11" s="363"/>
    </row>
    <row r="12" spans="1:9" ht="15.75">
      <c r="A12" s="339" t="s">
        <v>106</v>
      </c>
      <c r="B12" s="334">
        <v>30</v>
      </c>
      <c r="C12" s="362">
        <f t="shared" si="0"/>
        <v>0.12448132780082988</v>
      </c>
      <c r="D12" s="451">
        <v>28218.185559999998</v>
      </c>
      <c r="E12" s="362">
        <f t="shared" si="1"/>
        <v>0.2353182754955076</v>
      </c>
      <c r="G12" s="363"/>
      <c r="I12" s="363"/>
    </row>
    <row r="13" spans="1:9" ht="15.75">
      <c r="A13" s="333" t="s">
        <v>382</v>
      </c>
      <c r="B13" s="334">
        <v>14</v>
      </c>
      <c r="C13" s="362">
        <f t="shared" si="0"/>
        <v>0.058091286307053944</v>
      </c>
      <c r="D13" s="451">
        <v>3889.671684</v>
      </c>
      <c r="E13" s="362">
        <f t="shared" si="1"/>
        <v>0.03243691310259379</v>
      </c>
      <c r="G13" s="363"/>
      <c r="I13" s="363"/>
    </row>
    <row r="14" spans="1:9" ht="15.75">
      <c r="A14" s="339" t="s">
        <v>383</v>
      </c>
      <c r="B14" s="334">
        <v>3</v>
      </c>
      <c r="C14" s="362">
        <f t="shared" si="0"/>
        <v>0.012448132780082987</v>
      </c>
      <c r="D14" s="451">
        <v>2738.740462</v>
      </c>
      <c r="E14" s="362">
        <f t="shared" si="1"/>
        <v>0.022839019226706433</v>
      </c>
      <c r="G14" s="363"/>
      <c r="I14" s="363"/>
    </row>
    <row r="15" spans="1:9" ht="15.75">
      <c r="A15" s="339" t="s">
        <v>120</v>
      </c>
      <c r="B15" s="334">
        <v>1</v>
      </c>
      <c r="C15" s="362">
        <f t="shared" si="0"/>
        <v>0.004149377593360996</v>
      </c>
      <c r="D15" s="451">
        <v>0</v>
      </c>
      <c r="E15" s="362">
        <f t="shared" si="1"/>
        <v>0</v>
      </c>
      <c r="G15" s="363"/>
      <c r="I15" s="363"/>
    </row>
    <row r="16" spans="1:9" ht="15.75">
      <c r="A16" s="333" t="s">
        <v>384</v>
      </c>
      <c r="B16" s="334">
        <v>22</v>
      </c>
      <c r="C16" s="362">
        <f t="shared" si="0"/>
        <v>0.0912863070539419</v>
      </c>
      <c r="D16" s="451">
        <v>2487.7155510000002</v>
      </c>
      <c r="E16" s="362">
        <f t="shared" si="1"/>
        <v>0.02074566176978094</v>
      </c>
      <c r="G16" s="363"/>
      <c r="I16" s="363"/>
    </row>
    <row r="17" spans="1:9" ht="15.75">
      <c r="A17" s="338" t="s">
        <v>133</v>
      </c>
      <c r="B17" s="334">
        <v>5</v>
      </c>
      <c r="C17" s="362">
        <f t="shared" si="0"/>
        <v>0.02074688796680498</v>
      </c>
      <c r="D17" s="451">
        <v>1796.9033559999998</v>
      </c>
      <c r="E17" s="362">
        <f t="shared" si="1"/>
        <v>0.014984811764984727</v>
      </c>
      <c r="G17" s="363"/>
      <c r="I17" s="363"/>
    </row>
    <row r="18" spans="1:9" ht="15.75">
      <c r="A18" s="339" t="s">
        <v>137</v>
      </c>
      <c r="B18" s="334">
        <v>0</v>
      </c>
      <c r="C18" s="362">
        <f t="shared" si="0"/>
        <v>0</v>
      </c>
      <c r="D18" s="451">
        <v>0</v>
      </c>
      <c r="E18" s="362">
        <f t="shared" si="1"/>
        <v>0</v>
      </c>
      <c r="G18" s="363"/>
      <c r="I18" s="363"/>
    </row>
    <row r="19" spans="1:9" ht="15.75">
      <c r="A19" s="339" t="s">
        <v>141</v>
      </c>
      <c r="B19" s="334">
        <v>1</v>
      </c>
      <c r="C19" s="362">
        <f t="shared" si="0"/>
        <v>0.004149377593360996</v>
      </c>
      <c r="D19" s="451">
        <v>0</v>
      </c>
      <c r="E19" s="362">
        <f t="shared" si="1"/>
        <v>0</v>
      </c>
      <c r="G19" s="363"/>
      <c r="I19" s="363"/>
    </row>
    <row r="20" spans="1:9" ht="15.75">
      <c r="A20" s="339" t="s">
        <v>385</v>
      </c>
      <c r="B20" s="334">
        <v>0</v>
      </c>
      <c r="C20" s="362">
        <f t="shared" si="0"/>
        <v>0</v>
      </c>
      <c r="D20" s="451">
        <v>0</v>
      </c>
      <c r="E20" s="362">
        <f t="shared" si="1"/>
        <v>0</v>
      </c>
      <c r="G20" s="363"/>
      <c r="I20" s="363"/>
    </row>
    <row r="21" spans="1:9" ht="15.75">
      <c r="A21" s="339" t="s">
        <v>386</v>
      </c>
      <c r="B21" s="334">
        <v>2</v>
      </c>
      <c r="C21" s="362">
        <f t="shared" si="0"/>
        <v>0.008298755186721992</v>
      </c>
      <c r="D21" s="451">
        <v>133.315</v>
      </c>
      <c r="E21" s="362">
        <f t="shared" si="1"/>
        <v>0.0011117460345201442</v>
      </c>
      <c r="G21" s="363"/>
      <c r="I21" s="363"/>
    </row>
    <row r="22" spans="1:9" ht="15.75">
      <c r="A22" s="339" t="s">
        <v>387</v>
      </c>
      <c r="B22" s="334">
        <v>0</v>
      </c>
      <c r="C22" s="362">
        <f t="shared" si="0"/>
        <v>0</v>
      </c>
      <c r="D22" s="452">
        <v>0</v>
      </c>
      <c r="E22" s="362">
        <f t="shared" si="1"/>
        <v>0</v>
      </c>
      <c r="G22" s="363"/>
      <c r="I22" s="363"/>
    </row>
    <row r="23" spans="1:9" ht="15.75">
      <c r="A23" s="341" t="s">
        <v>408</v>
      </c>
      <c r="B23" s="342">
        <f>SUM(B3:B22)</f>
        <v>241</v>
      </c>
      <c r="C23" s="365">
        <f t="shared" si="0"/>
        <v>1</v>
      </c>
      <c r="D23" s="359">
        <f>SUM(D3:D22)</f>
        <v>119914.97685669002</v>
      </c>
      <c r="E23" s="365">
        <f t="shared" si="1"/>
        <v>1</v>
      </c>
      <c r="G23" s="363"/>
      <c r="I23" s="363"/>
    </row>
    <row r="24" s="366" customFormat="1" ht="15.75" customHeight="1">
      <c r="E24" s="379" t="s">
        <v>406</v>
      </c>
    </row>
  </sheetData>
  <mergeCells count="1">
    <mergeCell ref="A1:E1"/>
  </mergeCells>
  <printOptions/>
  <pageMargins left="0.75" right="0.75" top="1" bottom="1" header="0.4921259845" footer="0.4921259845"/>
  <pageSetup fitToHeight="1" fitToWidth="1" horizontalDpi="600" verticalDpi="600" orientation="landscape" paperSize="9" scale="91" r:id="rId1"/>
</worksheet>
</file>

<file path=xl/worksheets/sheet27.xml><?xml version="1.0" encoding="utf-8"?>
<worksheet xmlns="http://schemas.openxmlformats.org/spreadsheetml/2006/main" xmlns:r="http://schemas.openxmlformats.org/officeDocument/2006/relationships">
  <sheetPr>
    <tabColor indexed="42"/>
    <pageSetUpPr fitToPage="1"/>
  </sheetPr>
  <dimension ref="A1:J24"/>
  <sheetViews>
    <sheetView workbookViewId="0" topLeftCell="A1">
      <pane xSplit="1" ySplit="2" topLeftCell="B3" activePane="bottomRight" state="frozen"/>
      <selection pane="topLeft" activeCell="T23" sqref="T23"/>
      <selection pane="topRight" activeCell="T23" sqref="T23"/>
      <selection pane="bottomLeft" activeCell="T23" sqref="T23"/>
      <selection pane="bottomRight" activeCell="A2" sqref="A2"/>
    </sheetView>
  </sheetViews>
  <sheetFormatPr defaultColWidth="9.140625" defaultRowHeight="12.75"/>
  <cols>
    <col min="1" max="1" width="22.7109375" style="384" customWidth="1"/>
    <col min="2" max="2" width="16.7109375" style="380" customWidth="1"/>
    <col min="3" max="3" width="18.57421875" style="380" customWidth="1"/>
    <col min="4" max="5" width="16.7109375" style="380" customWidth="1"/>
    <col min="6" max="6" width="17.140625" style="380" customWidth="1"/>
    <col min="7" max="9" width="16.7109375" style="380" customWidth="1"/>
    <col min="10" max="16384" width="9.140625" style="380" customWidth="1"/>
  </cols>
  <sheetData>
    <row r="1" spans="1:9" ht="75" customHeight="1">
      <c r="A1" s="595" t="s">
        <v>425</v>
      </c>
      <c r="B1" s="595"/>
      <c r="C1" s="595"/>
      <c r="D1" s="595"/>
      <c r="E1" s="595"/>
      <c r="F1" s="595"/>
      <c r="G1" s="595"/>
      <c r="H1" s="595"/>
      <c r="I1" s="595"/>
    </row>
    <row r="2" spans="1:10" s="381" customFormat="1" ht="118.5" customHeight="1">
      <c r="A2" s="453" t="s">
        <v>154</v>
      </c>
      <c r="B2" s="453" t="s">
        <v>417</v>
      </c>
      <c r="C2" s="453" t="s">
        <v>418</v>
      </c>
      <c r="D2" s="453" t="s">
        <v>419</v>
      </c>
      <c r="E2" s="453" t="s">
        <v>420</v>
      </c>
      <c r="F2" s="453" t="s">
        <v>421</v>
      </c>
      <c r="G2" s="453" t="s">
        <v>422</v>
      </c>
      <c r="H2" s="464" t="s">
        <v>423</v>
      </c>
      <c r="I2" s="466" t="s">
        <v>424</v>
      </c>
      <c r="J2" s="380"/>
    </row>
    <row r="3" spans="1:9" ht="15.75">
      <c r="A3" s="457" t="s">
        <v>60</v>
      </c>
      <c r="B3" s="458">
        <v>31979</v>
      </c>
      <c r="C3" s="459">
        <v>21625</v>
      </c>
      <c r="D3" s="460">
        <v>1415</v>
      </c>
      <c r="E3" s="459">
        <v>46802</v>
      </c>
      <c r="F3" s="459">
        <v>52855.6</v>
      </c>
      <c r="G3" s="459">
        <v>2047</v>
      </c>
      <c r="H3" s="465">
        <f aca="true" t="shared" si="0" ref="H3:H22">G3-D3</f>
        <v>632</v>
      </c>
      <c r="I3" s="467">
        <f aca="true" t="shared" si="1" ref="I3:I22">F3-C3</f>
        <v>31230.6</v>
      </c>
    </row>
    <row r="4" spans="1:9" ht="15.75">
      <c r="A4" s="457" t="s">
        <v>78</v>
      </c>
      <c r="B4" s="458">
        <v>11240</v>
      </c>
      <c r="C4" s="459">
        <v>12051</v>
      </c>
      <c r="D4" s="460">
        <v>616</v>
      </c>
      <c r="E4" s="459">
        <v>26382</v>
      </c>
      <c r="F4" s="459">
        <v>25596</v>
      </c>
      <c r="G4" s="459">
        <v>963</v>
      </c>
      <c r="H4" s="465">
        <f t="shared" si="0"/>
        <v>347</v>
      </c>
      <c r="I4" s="467">
        <f t="shared" si="1"/>
        <v>13545</v>
      </c>
    </row>
    <row r="5" spans="1:9" ht="15.75">
      <c r="A5" s="457" t="s">
        <v>80</v>
      </c>
      <c r="B5" s="458">
        <v>19846</v>
      </c>
      <c r="C5" s="459">
        <v>19270</v>
      </c>
      <c r="D5" s="460">
        <v>1101</v>
      </c>
      <c r="E5" s="459">
        <v>42032</v>
      </c>
      <c r="F5" s="459">
        <v>39631</v>
      </c>
      <c r="G5" s="459">
        <v>1978</v>
      </c>
      <c r="H5" s="465">
        <f t="shared" si="0"/>
        <v>877</v>
      </c>
      <c r="I5" s="467">
        <f t="shared" si="1"/>
        <v>20361</v>
      </c>
    </row>
    <row r="6" spans="1:9" ht="15.75">
      <c r="A6" s="457" t="s">
        <v>87</v>
      </c>
      <c r="B6" s="458">
        <v>4338</v>
      </c>
      <c r="C6" s="459">
        <v>4107</v>
      </c>
      <c r="D6" s="460">
        <v>340</v>
      </c>
      <c r="E6" s="459">
        <v>12136</v>
      </c>
      <c r="F6" s="459">
        <v>9868.8</v>
      </c>
      <c r="G6" s="459">
        <v>220</v>
      </c>
      <c r="H6" s="465">
        <f t="shared" si="0"/>
        <v>-120</v>
      </c>
      <c r="I6" s="467">
        <f t="shared" si="1"/>
        <v>5761.799999999999</v>
      </c>
    </row>
    <row r="7" spans="1:9" ht="15.75">
      <c r="A7" s="457" t="s">
        <v>90</v>
      </c>
      <c r="B7" s="458">
        <v>1964</v>
      </c>
      <c r="C7" s="459">
        <v>1754</v>
      </c>
      <c r="D7" s="460">
        <v>92</v>
      </c>
      <c r="E7" s="459">
        <v>3497</v>
      </c>
      <c r="F7" s="459">
        <v>3965</v>
      </c>
      <c r="G7" s="459">
        <v>138</v>
      </c>
      <c r="H7" s="465">
        <f t="shared" si="0"/>
        <v>46</v>
      </c>
      <c r="I7" s="467">
        <f t="shared" si="1"/>
        <v>2211</v>
      </c>
    </row>
    <row r="8" spans="1:9" ht="15.75">
      <c r="A8" s="457" t="s">
        <v>91</v>
      </c>
      <c r="B8" s="458">
        <v>14038</v>
      </c>
      <c r="C8" s="459">
        <v>15971</v>
      </c>
      <c r="D8" s="460">
        <v>878</v>
      </c>
      <c r="E8" s="459">
        <v>29224</v>
      </c>
      <c r="F8" s="459">
        <v>29751</v>
      </c>
      <c r="G8" s="459">
        <v>1262</v>
      </c>
      <c r="H8" s="465">
        <f t="shared" si="0"/>
        <v>384</v>
      </c>
      <c r="I8" s="467">
        <f t="shared" si="1"/>
        <v>13780</v>
      </c>
    </row>
    <row r="9" spans="1:9" ht="15.75">
      <c r="A9" s="457" t="s">
        <v>94</v>
      </c>
      <c r="B9" s="458">
        <v>21392</v>
      </c>
      <c r="C9" s="459">
        <v>14995</v>
      </c>
      <c r="D9" s="460">
        <v>1379</v>
      </c>
      <c r="E9" s="459">
        <v>19260</v>
      </c>
      <c r="F9" s="459">
        <v>26018</v>
      </c>
      <c r="G9" s="459">
        <v>978</v>
      </c>
      <c r="H9" s="465">
        <f t="shared" si="0"/>
        <v>-401</v>
      </c>
      <c r="I9" s="467">
        <f t="shared" si="1"/>
        <v>11023</v>
      </c>
    </row>
    <row r="10" spans="1:9" ht="15.75">
      <c r="A10" s="457" t="s">
        <v>98</v>
      </c>
      <c r="B10" s="458">
        <v>5036</v>
      </c>
      <c r="C10" s="459">
        <v>4927</v>
      </c>
      <c r="D10" s="460">
        <v>304</v>
      </c>
      <c r="E10" s="459">
        <v>11910</v>
      </c>
      <c r="F10" s="459">
        <v>12092.2</v>
      </c>
      <c r="G10" s="459">
        <v>608</v>
      </c>
      <c r="H10" s="465">
        <f t="shared" si="0"/>
        <v>304</v>
      </c>
      <c r="I10" s="467">
        <f t="shared" si="1"/>
        <v>7165.200000000001</v>
      </c>
    </row>
    <row r="11" spans="1:9" ht="15.75">
      <c r="A11" s="457" t="s">
        <v>101</v>
      </c>
      <c r="B11" s="458">
        <v>18366</v>
      </c>
      <c r="C11" s="459">
        <v>18898</v>
      </c>
      <c r="D11" s="460">
        <v>971</v>
      </c>
      <c r="E11" s="459">
        <v>33783</v>
      </c>
      <c r="F11" s="459">
        <v>31987.7</v>
      </c>
      <c r="G11" s="459">
        <v>1567</v>
      </c>
      <c r="H11" s="465">
        <f t="shared" si="0"/>
        <v>596</v>
      </c>
      <c r="I11" s="467">
        <f t="shared" si="1"/>
        <v>13089.7</v>
      </c>
    </row>
    <row r="12" spans="1:9" ht="15.75">
      <c r="A12" s="457" t="s">
        <v>106</v>
      </c>
      <c r="B12" s="458">
        <v>30523</v>
      </c>
      <c r="C12" s="459">
        <v>25722</v>
      </c>
      <c r="D12" s="460">
        <v>1325</v>
      </c>
      <c r="E12" s="459">
        <v>44890</v>
      </c>
      <c r="F12" s="459">
        <v>50001</v>
      </c>
      <c r="G12" s="459">
        <v>1998</v>
      </c>
      <c r="H12" s="465">
        <f t="shared" si="0"/>
        <v>673</v>
      </c>
      <c r="I12" s="467">
        <f t="shared" si="1"/>
        <v>24279</v>
      </c>
    </row>
    <row r="13" spans="1:9" ht="15.75">
      <c r="A13" s="457" t="s">
        <v>111</v>
      </c>
      <c r="B13" s="458">
        <v>20758</v>
      </c>
      <c r="C13" s="459">
        <v>16039</v>
      </c>
      <c r="D13" s="460">
        <v>1669</v>
      </c>
      <c r="E13" s="459">
        <v>26535</v>
      </c>
      <c r="F13" s="459">
        <v>28590.15</v>
      </c>
      <c r="G13" s="459">
        <v>1080</v>
      </c>
      <c r="H13" s="465">
        <f t="shared" si="0"/>
        <v>-589</v>
      </c>
      <c r="I13" s="467">
        <f t="shared" si="1"/>
        <v>12551.150000000001</v>
      </c>
    </row>
    <row r="14" spans="1:9" ht="15.75">
      <c r="A14" s="457" t="s">
        <v>115</v>
      </c>
      <c r="B14" s="458">
        <v>3182</v>
      </c>
      <c r="C14" s="459">
        <v>3493</v>
      </c>
      <c r="D14" s="461">
        <v>222</v>
      </c>
      <c r="E14" s="459">
        <v>10252</v>
      </c>
      <c r="F14" s="459">
        <v>8406</v>
      </c>
      <c r="G14" s="459">
        <v>430</v>
      </c>
      <c r="H14" s="465">
        <f t="shared" si="0"/>
        <v>208</v>
      </c>
      <c r="I14" s="467">
        <f t="shared" si="1"/>
        <v>4913</v>
      </c>
    </row>
    <row r="15" spans="1:9" ht="15.75">
      <c r="A15" s="457" t="s">
        <v>120</v>
      </c>
      <c r="B15" s="458">
        <v>17061</v>
      </c>
      <c r="C15" s="459">
        <v>12209</v>
      </c>
      <c r="D15" s="460">
        <v>744</v>
      </c>
      <c r="E15" s="459">
        <v>18262</v>
      </c>
      <c r="F15" s="459">
        <v>22834</v>
      </c>
      <c r="G15" s="459">
        <v>952</v>
      </c>
      <c r="H15" s="465">
        <f t="shared" si="0"/>
        <v>208</v>
      </c>
      <c r="I15" s="467">
        <f t="shared" si="1"/>
        <v>10625</v>
      </c>
    </row>
    <row r="16" spans="1:9" ht="15.75">
      <c r="A16" s="457" t="s">
        <v>127</v>
      </c>
      <c r="B16" s="458">
        <v>11148</v>
      </c>
      <c r="C16" s="459">
        <v>13402</v>
      </c>
      <c r="D16" s="460">
        <v>577</v>
      </c>
      <c r="E16" s="459">
        <v>19556</v>
      </c>
      <c r="F16" s="459">
        <v>20003.4</v>
      </c>
      <c r="G16" s="459">
        <v>733</v>
      </c>
      <c r="H16" s="465">
        <f t="shared" si="0"/>
        <v>156</v>
      </c>
      <c r="I16" s="467">
        <f t="shared" si="1"/>
        <v>6601.4000000000015</v>
      </c>
    </row>
    <row r="17" spans="1:9" ht="15.75">
      <c r="A17" s="457" t="s">
        <v>133</v>
      </c>
      <c r="B17" s="458">
        <v>7957</v>
      </c>
      <c r="C17" s="459">
        <v>6729</v>
      </c>
      <c r="D17" s="460">
        <v>406</v>
      </c>
      <c r="E17" s="459">
        <v>9978</v>
      </c>
      <c r="F17" s="459">
        <v>11731.1</v>
      </c>
      <c r="G17" s="459">
        <v>644</v>
      </c>
      <c r="H17" s="465">
        <f t="shared" si="0"/>
        <v>238</v>
      </c>
      <c r="I17" s="467">
        <f t="shared" si="1"/>
        <v>5002.1</v>
      </c>
    </row>
    <row r="18" spans="1:9" ht="15.75">
      <c r="A18" s="457" t="s">
        <v>137</v>
      </c>
      <c r="B18" s="458">
        <v>10</v>
      </c>
      <c r="C18" s="459">
        <v>1039</v>
      </c>
      <c r="D18" s="460">
        <v>118</v>
      </c>
      <c r="E18" s="459">
        <v>1562</v>
      </c>
      <c r="F18" s="459">
        <v>2096</v>
      </c>
      <c r="G18" s="459">
        <v>77</v>
      </c>
      <c r="H18" s="465">
        <f t="shared" si="0"/>
        <v>-41</v>
      </c>
      <c r="I18" s="467">
        <f t="shared" si="1"/>
        <v>1057</v>
      </c>
    </row>
    <row r="19" spans="1:9" ht="15.75">
      <c r="A19" s="457" t="s">
        <v>141</v>
      </c>
      <c r="B19" s="458">
        <v>1189</v>
      </c>
      <c r="C19" s="459">
        <v>931</v>
      </c>
      <c r="D19" s="460">
        <v>56</v>
      </c>
      <c r="E19" s="459">
        <v>1243</v>
      </c>
      <c r="F19" s="459">
        <v>1697.7</v>
      </c>
      <c r="G19" s="459">
        <v>63</v>
      </c>
      <c r="H19" s="465">
        <f t="shared" si="0"/>
        <v>7</v>
      </c>
      <c r="I19" s="467">
        <f t="shared" si="1"/>
        <v>766.7</v>
      </c>
    </row>
    <row r="20" spans="1:9" ht="15.75">
      <c r="A20" s="457" t="s">
        <v>142</v>
      </c>
      <c r="B20" s="458">
        <v>1213</v>
      </c>
      <c r="C20" s="459">
        <v>1077</v>
      </c>
      <c r="D20" s="460">
        <v>61</v>
      </c>
      <c r="E20" s="459">
        <v>3443</v>
      </c>
      <c r="F20" s="459">
        <v>3515</v>
      </c>
      <c r="G20" s="459">
        <v>117</v>
      </c>
      <c r="H20" s="465">
        <f t="shared" si="0"/>
        <v>56</v>
      </c>
      <c r="I20" s="467">
        <f t="shared" si="1"/>
        <v>2438</v>
      </c>
    </row>
    <row r="21" spans="1:9" ht="15.75">
      <c r="A21" s="457" t="s">
        <v>146</v>
      </c>
      <c r="B21" s="458">
        <v>15390</v>
      </c>
      <c r="C21" s="459">
        <v>15646</v>
      </c>
      <c r="D21" s="460">
        <v>1011</v>
      </c>
      <c r="E21" s="459">
        <v>39032</v>
      </c>
      <c r="F21" s="459">
        <v>38673.8</v>
      </c>
      <c r="G21" s="459">
        <v>1025</v>
      </c>
      <c r="H21" s="465">
        <f t="shared" si="0"/>
        <v>14</v>
      </c>
      <c r="I21" s="467">
        <f t="shared" si="1"/>
        <v>23027.800000000003</v>
      </c>
    </row>
    <row r="22" spans="1:9" ht="15.75">
      <c r="A22" s="457" t="s">
        <v>147</v>
      </c>
      <c r="B22" s="458">
        <v>1178</v>
      </c>
      <c r="C22" s="459">
        <v>1006</v>
      </c>
      <c r="D22" s="460">
        <v>44</v>
      </c>
      <c r="E22" s="459">
        <v>3806</v>
      </c>
      <c r="F22" s="459">
        <v>3576.3</v>
      </c>
      <c r="G22" s="459">
        <v>570</v>
      </c>
      <c r="H22" s="465">
        <f t="shared" si="0"/>
        <v>526</v>
      </c>
      <c r="I22" s="467">
        <f t="shared" si="1"/>
        <v>2570.3</v>
      </c>
    </row>
    <row r="23" spans="1:10" s="383" customFormat="1" ht="15.75">
      <c r="A23" s="462" t="s">
        <v>155</v>
      </c>
      <c r="B23" s="463">
        <f aca="true" t="shared" si="2" ref="B23:I23">SUM(B3:B22)</f>
        <v>237808</v>
      </c>
      <c r="C23" s="463">
        <f t="shared" si="2"/>
        <v>210891</v>
      </c>
      <c r="D23" s="463">
        <f t="shared" si="2"/>
        <v>13329</v>
      </c>
      <c r="E23" s="463">
        <f t="shared" si="2"/>
        <v>403585</v>
      </c>
      <c r="F23" s="463">
        <f t="shared" si="2"/>
        <v>422889.75000000006</v>
      </c>
      <c r="G23" s="463">
        <f t="shared" si="2"/>
        <v>17450</v>
      </c>
      <c r="H23" s="463">
        <f t="shared" si="2"/>
        <v>4121</v>
      </c>
      <c r="I23" s="463">
        <f t="shared" si="2"/>
        <v>211998.75</v>
      </c>
      <c r="J23" s="382"/>
    </row>
    <row r="24" ht="15.75">
      <c r="D24" s="384"/>
    </row>
  </sheetData>
  <mergeCells count="1">
    <mergeCell ref="A1:I1"/>
  </mergeCells>
  <printOptions horizontalCentered="1"/>
  <pageMargins left="0.7874015748031497" right="0.7874015748031497" top="0.2362204724409449" bottom="0.5118110236220472" header="0.15748031496062992" footer="0.5118110236220472"/>
  <pageSetup fitToHeight="1" fitToWidth="1" horizontalDpi="600" verticalDpi="600" orientation="landscape" paperSize="9" scale="72" r:id="rId1"/>
</worksheet>
</file>

<file path=xl/worksheets/sheet28.xml><?xml version="1.0" encoding="utf-8"?>
<worksheet xmlns="http://schemas.openxmlformats.org/spreadsheetml/2006/main" xmlns:r="http://schemas.openxmlformats.org/officeDocument/2006/relationships">
  <sheetPr codeName="Hárok41">
    <tabColor indexed="42"/>
    <pageSetUpPr fitToPage="1"/>
  </sheetPr>
  <dimension ref="A1:S24"/>
  <sheetViews>
    <sheetView zoomScaleSheetLayoutView="100" workbookViewId="0" topLeftCell="A1">
      <selection activeCell="A2" sqref="A2"/>
    </sheetView>
  </sheetViews>
  <sheetFormatPr defaultColWidth="9.140625" defaultRowHeight="12.75"/>
  <cols>
    <col min="1" max="1" width="25.7109375" style="9" customWidth="1"/>
    <col min="2" max="5" width="15.7109375" style="10" customWidth="1"/>
    <col min="6" max="6" width="15.7109375" style="11" customWidth="1"/>
    <col min="7" max="8" width="15.7109375" style="12" customWidth="1"/>
    <col min="9" max="9" width="15.7109375" style="6" customWidth="1"/>
    <col min="10" max="10" width="20.7109375" style="6" customWidth="1"/>
    <col min="11" max="16384" width="22.57421875" style="6" customWidth="1"/>
  </cols>
  <sheetData>
    <row r="1" spans="1:19" ht="75" customHeight="1">
      <c r="A1" s="596" t="s">
        <v>640</v>
      </c>
      <c r="B1" s="596"/>
      <c r="C1" s="596"/>
      <c r="D1" s="596"/>
      <c r="E1" s="596"/>
      <c r="F1" s="596"/>
      <c r="G1" s="596"/>
      <c r="H1" s="596"/>
      <c r="I1" s="596"/>
      <c r="J1" s="13"/>
      <c r="K1" s="13"/>
      <c r="L1" s="13"/>
      <c r="R1" s="7"/>
      <c r="S1" s="7"/>
    </row>
    <row r="2" spans="1:10" s="7" customFormat="1" ht="135" customHeight="1">
      <c r="A2" s="77" t="s">
        <v>154</v>
      </c>
      <c r="B2" s="79" t="s">
        <v>232</v>
      </c>
      <c r="C2" s="79" t="s">
        <v>233</v>
      </c>
      <c r="D2" s="43" t="s">
        <v>234</v>
      </c>
      <c r="E2" s="78" t="s">
        <v>235</v>
      </c>
      <c r="F2" s="79" t="s">
        <v>196</v>
      </c>
      <c r="G2" s="79" t="s">
        <v>197</v>
      </c>
      <c r="H2" s="43" t="s">
        <v>198</v>
      </c>
      <c r="I2" s="78" t="s">
        <v>199</v>
      </c>
      <c r="J2" s="6"/>
    </row>
    <row r="3" spans="1:9" ht="15.75">
      <c r="A3" s="260" t="s">
        <v>60</v>
      </c>
      <c r="B3" s="261">
        <f>10566+543</f>
        <v>11109</v>
      </c>
      <c r="C3" s="262">
        <v>0</v>
      </c>
      <c r="D3" s="263">
        <f aca="true" t="shared" si="0" ref="D3:D22">B3+C3</f>
        <v>11109</v>
      </c>
      <c r="E3" s="264">
        <v>300</v>
      </c>
      <c r="F3" s="265">
        <v>11035</v>
      </c>
      <c r="G3" s="265">
        <v>0</v>
      </c>
      <c r="H3" s="266">
        <f aca="true" t="shared" si="1" ref="H3:H23">SUM(F3:G3)</f>
        <v>11035</v>
      </c>
      <c r="I3" s="267">
        <v>194</v>
      </c>
    </row>
    <row r="4" spans="1:9" ht="15.75">
      <c r="A4" s="260" t="s">
        <v>78</v>
      </c>
      <c r="B4" s="261">
        <v>1735</v>
      </c>
      <c r="C4" s="262">
        <v>537</v>
      </c>
      <c r="D4" s="263">
        <f t="shared" si="0"/>
        <v>2272</v>
      </c>
      <c r="E4" s="264">
        <v>507</v>
      </c>
      <c r="F4" s="265">
        <v>1735</v>
      </c>
      <c r="G4" s="265">
        <v>694</v>
      </c>
      <c r="H4" s="266">
        <f t="shared" si="1"/>
        <v>2429</v>
      </c>
      <c r="I4" s="267">
        <v>607</v>
      </c>
    </row>
    <row r="5" spans="1:9" ht="15.75">
      <c r="A5" s="260" t="s">
        <v>80</v>
      </c>
      <c r="B5" s="261">
        <f>1791+133</f>
        <v>1924</v>
      </c>
      <c r="C5" s="262">
        <v>110</v>
      </c>
      <c r="D5" s="263">
        <f t="shared" si="0"/>
        <v>2034</v>
      </c>
      <c r="E5" s="264">
        <v>620</v>
      </c>
      <c r="F5" s="265">
        <v>1906</v>
      </c>
      <c r="G5" s="265">
        <v>0</v>
      </c>
      <c r="H5" s="266">
        <f t="shared" si="1"/>
        <v>1906</v>
      </c>
      <c r="I5" s="267">
        <v>886</v>
      </c>
    </row>
    <row r="6" spans="1:9" ht="15.75">
      <c r="A6" s="260" t="s">
        <v>87</v>
      </c>
      <c r="B6" s="261">
        <v>224</v>
      </c>
      <c r="C6" s="262">
        <v>190</v>
      </c>
      <c r="D6" s="263">
        <f t="shared" si="0"/>
        <v>414</v>
      </c>
      <c r="E6" s="264">
        <v>200</v>
      </c>
      <c r="F6" s="265">
        <v>224</v>
      </c>
      <c r="G6" s="265">
        <v>340</v>
      </c>
      <c r="H6" s="266">
        <f t="shared" si="1"/>
        <v>564</v>
      </c>
      <c r="I6" s="267">
        <v>200</v>
      </c>
    </row>
    <row r="7" spans="1:9" ht="15.75">
      <c r="A7" s="260" t="s">
        <v>90</v>
      </c>
      <c r="B7" s="261">
        <v>826</v>
      </c>
      <c r="C7" s="262">
        <v>0</v>
      </c>
      <c r="D7" s="263">
        <f t="shared" si="0"/>
        <v>826</v>
      </c>
      <c r="E7" s="264">
        <v>0</v>
      </c>
      <c r="F7" s="265">
        <v>826</v>
      </c>
      <c r="G7" s="265">
        <v>0</v>
      </c>
      <c r="H7" s="266">
        <f t="shared" si="1"/>
        <v>826</v>
      </c>
      <c r="I7" s="267">
        <v>0</v>
      </c>
    </row>
    <row r="8" spans="1:9" ht="15.75">
      <c r="A8" s="260" t="s">
        <v>91</v>
      </c>
      <c r="B8" s="261">
        <v>1197</v>
      </c>
      <c r="C8" s="262">
        <v>520</v>
      </c>
      <c r="D8" s="263">
        <f t="shared" si="0"/>
        <v>1717</v>
      </c>
      <c r="E8" s="264">
        <v>3006</v>
      </c>
      <c r="F8" s="265">
        <v>1199</v>
      </c>
      <c r="G8" s="265">
        <v>489</v>
      </c>
      <c r="H8" s="266">
        <f t="shared" si="1"/>
        <v>1688</v>
      </c>
      <c r="I8" s="267">
        <v>2427</v>
      </c>
    </row>
    <row r="9" spans="1:9" ht="15.75">
      <c r="A9" s="260" t="s">
        <v>94</v>
      </c>
      <c r="B9" s="261">
        <v>2419</v>
      </c>
      <c r="C9" s="262">
        <v>20</v>
      </c>
      <c r="D9" s="263">
        <f t="shared" si="0"/>
        <v>2439</v>
      </c>
      <c r="E9" s="264">
        <v>2277</v>
      </c>
      <c r="F9" s="265">
        <v>2419</v>
      </c>
      <c r="G9" s="265">
        <v>0</v>
      </c>
      <c r="H9" s="266">
        <f t="shared" si="1"/>
        <v>2419</v>
      </c>
      <c r="I9" s="267">
        <v>540</v>
      </c>
    </row>
    <row r="10" spans="1:9" ht="15.75">
      <c r="A10" s="260" t="s">
        <v>98</v>
      </c>
      <c r="B10" s="261">
        <v>0</v>
      </c>
      <c r="C10" s="262">
        <v>418</v>
      </c>
      <c r="D10" s="263">
        <f t="shared" si="0"/>
        <v>418</v>
      </c>
      <c r="E10" s="264">
        <v>0</v>
      </c>
      <c r="F10" s="265">
        <v>0</v>
      </c>
      <c r="G10" s="265">
        <v>590</v>
      </c>
      <c r="H10" s="266">
        <f t="shared" si="1"/>
        <v>590</v>
      </c>
      <c r="I10" s="267">
        <v>527</v>
      </c>
    </row>
    <row r="11" spans="1:9" ht="15.75">
      <c r="A11" s="260" t="s">
        <v>101</v>
      </c>
      <c r="B11" s="261">
        <v>8092</v>
      </c>
      <c r="C11" s="262">
        <v>40</v>
      </c>
      <c r="D11" s="263">
        <f t="shared" si="0"/>
        <v>8132</v>
      </c>
      <c r="E11" s="264">
        <v>3122</v>
      </c>
      <c r="F11" s="265">
        <v>8092</v>
      </c>
      <c r="G11" s="265">
        <v>0</v>
      </c>
      <c r="H11" s="266">
        <f t="shared" si="1"/>
        <v>8092</v>
      </c>
      <c r="I11" s="267">
        <v>4111</v>
      </c>
    </row>
    <row r="12" spans="1:9" ht="15.75">
      <c r="A12" s="260" t="s">
        <v>106</v>
      </c>
      <c r="B12" s="261">
        <v>5821</v>
      </c>
      <c r="C12" s="262">
        <v>0</v>
      </c>
      <c r="D12" s="263">
        <f t="shared" si="0"/>
        <v>5821</v>
      </c>
      <c r="E12" s="264">
        <v>0</v>
      </c>
      <c r="F12" s="265">
        <v>5821</v>
      </c>
      <c r="G12" s="265">
        <v>0</v>
      </c>
      <c r="H12" s="266">
        <f t="shared" si="1"/>
        <v>5821</v>
      </c>
      <c r="I12" s="267">
        <v>0</v>
      </c>
    </row>
    <row r="13" spans="1:9" ht="15.75">
      <c r="A13" s="260" t="s">
        <v>111</v>
      </c>
      <c r="B13" s="261">
        <v>5027</v>
      </c>
      <c r="C13" s="262">
        <v>0</v>
      </c>
      <c r="D13" s="263">
        <f t="shared" si="0"/>
        <v>5027</v>
      </c>
      <c r="E13" s="264">
        <v>0</v>
      </c>
      <c r="F13" s="265">
        <v>4850</v>
      </c>
      <c r="G13" s="265">
        <v>0</v>
      </c>
      <c r="H13" s="266">
        <f t="shared" si="1"/>
        <v>4850</v>
      </c>
      <c r="I13" s="267">
        <v>0</v>
      </c>
    </row>
    <row r="14" spans="1:9" ht="15.75">
      <c r="A14" s="260" t="s">
        <v>115</v>
      </c>
      <c r="B14" s="261">
        <v>306</v>
      </c>
      <c r="C14" s="262">
        <v>206</v>
      </c>
      <c r="D14" s="263">
        <f t="shared" si="0"/>
        <v>512</v>
      </c>
      <c r="E14" s="264">
        <v>442</v>
      </c>
      <c r="F14" s="265">
        <v>306</v>
      </c>
      <c r="G14" s="265">
        <v>234</v>
      </c>
      <c r="H14" s="266">
        <f t="shared" si="1"/>
        <v>540</v>
      </c>
      <c r="I14" s="267">
        <v>508</v>
      </c>
    </row>
    <row r="15" spans="1:9" ht="15.75">
      <c r="A15" s="260" t="s">
        <v>120</v>
      </c>
      <c r="B15" s="261">
        <v>3054</v>
      </c>
      <c r="C15" s="262">
        <v>0</v>
      </c>
      <c r="D15" s="263">
        <f t="shared" si="0"/>
        <v>3054</v>
      </c>
      <c r="E15" s="264">
        <v>644</v>
      </c>
      <c r="F15" s="265">
        <v>3057</v>
      </c>
      <c r="G15" s="265">
        <v>0</v>
      </c>
      <c r="H15" s="266">
        <f t="shared" si="1"/>
        <v>3057</v>
      </c>
      <c r="I15" s="267">
        <v>1139</v>
      </c>
    </row>
    <row r="16" spans="1:9" ht="15.75">
      <c r="A16" s="260" t="s">
        <v>127</v>
      </c>
      <c r="B16" s="261">
        <v>2729</v>
      </c>
      <c r="C16" s="262">
        <v>30</v>
      </c>
      <c r="D16" s="263">
        <f t="shared" si="0"/>
        <v>2759</v>
      </c>
      <c r="E16" s="264">
        <v>3150</v>
      </c>
      <c r="F16" s="265">
        <v>2729</v>
      </c>
      <c r="G16" s="265">
        <v>0</v>
      </c>
      <c r="H16" s="266">
        <f t="shared" si="1"/>
        <v>2729</v>
      </c>
      <c r="I16" s="267">
        <v>2224</v>
      </c>
    </row>
    <row r="17" spans="1:9" ht="15.75">
      <c r="A17" s="260" t="s">
        <v>133</v>
      </c>
      <c r="B17" s="261">
        <v>1389</v>
      </c>
      <c r="C17" s="262">
        <v>352</v>
      </c>
      <c r="D17" s="263">
        <f t="shared" si="0"/>
        <v>1741</v>
      </c>
      <c r="E17" s="264">
        <v>173</v>
      </c>
      <c r="F17" s="265">
        <v>1524</v>
      </c>
      <c r="G17" s="265">
        <v>85</v>
      </c>
      <c r="H17" s="266">
        <f t="shared" si="1"/>
        <v>1609</v>
      </c>
      <c r="I17" s="267">
        <v>156</v>
      </c>
    </row>
    <row r="18" spans="1:9" ht="15.75">
      <c r="A18" s="260" t="s">
        <v>137</v>
      </c>
      <c r="B18" s="261">
        <v>0</v>
      </c>
      <c r="C18" s="262">
        <v>0</v>
      </c>
      <c r="D18" s="263">
        <f t="shared" si="0"/>
        <v>0</v>
      </c>
      <c r="E18" s="264">
        <v>0</v>
      </c>
      <c r="F18" s="265">
        <v>0</v>
      </c>
      <c r="G18" s="265">
        <v>0</v>
      </c>
      <c r="H18" s="266">
        <f t="shared" si="1"/>
        <v>0</v>
      </c>
      <c r="I18" s="267">
        <v>0</v>
      </c>
    </row>
    <row r="19" spans="1:9" ht="15.75">
      <c r="A19" s="260" t="s">
        <v>141</v>
      </c>
      <c r="B19" s="261">
        <v>0</v>
      </c>
      <c r="C19" s="262">
        <v>0</v>
      </c>
      <c r="D19" s="263">
        <f t="shared" si="0"/>
        <v>0</v>
      </c>
      <c r="E19" s="264">
        <v>0</v>
      </c>
      <c r="F19" s="265">
        <v>0</v>
      </c>
      <c r="G19" s="265">
        <v>0</v>
      </c>
      <c r="H19" s="266">
        <f t="shared" si="1"/>
        <v>0</v>
      </c>
      <c r="I19" s="267">
        <v>0</v>
      </c>
    </row>
    <row r="20" spans="1:9" ht="15.75">
      <c r="A20" s="260" t="s">
        <v>142</v>
      </c>
      <c r="B20" s="261">
        <v>201</v>
      </c>
      <c r="C20" s="262">
        <v>0</v>
      </c>
      <c r="D20" s="263">
        <f t="shared" si="0"/>
        <v>201</v>
      </c>
      <c r="E20" s="264">
        <v>18</v>
      </c>
      <c r="F20" s="265">
        <v>201</v>
      </c>
      <c r="G20" s="265">
        <v>0</v>
      </c>
      <c r="H20" s="266">
        <f t="shared" si="1"/>
        <v>201</v>
      </c>
      <c r="I20" s="267">
        <v>40</v>
      </c>
    </row>
    <row r="21" spans="1:9" ht="15.75">
      <c r="A21" s="260" t="s">
        <v>146</v>
      </c>
      <c r="B21" s="261">
        <f>218+671</f>
        <v>889</v>
      </c>
      <c r="C21" s="262">
        <v>216</v>
      </c>
      <c r="D21" s="263">
        <f t="shared" si="0"/>
        <v>1105</v>
      </c>
      <c r="E21" s="264">
        <v>0</v>
      </c>
      <c r="F21" s="265">
        <v>1062</v>
      </c>
      <c r="G21" s="265">
        <v>258</v>
      </c>
      <c r="H21" s="266">
        <f t="shared" si="1"/>
        <v>1320</v>
      </c>
      <c r="I21" s="267">
        <v>0</v>
      </c>
    </row>
    <row r="22" spans="1:10" ht="15.75">
      <c r="A22" s="260" t="s">
        <v>147</v>
      </c>
      <c r="B22" s="261">
        <v>466</v>
      </c>
      <c r="C22" s="262">
        <v>34</v>
      </c>
      <c r="D22" s="263">
        <f t="shared" si="0"/>
        <v>500</v>
      </c>
      <c r="E22" s="264">
        <v>0</v>
      </c>
      <c r="F22" s="265">
        <v>513</v>
      </c>
      <c r="G22" s="265">
        <v>0</v>
      </c>
      <c r="H22" s="266">
        <f t="shared" si="1"/>
        <v>513</v>
      </c>
      <c r="I22" s="270">
        <v>0</v>
      </c>
      <c r="J22" s="8"/>
    </row>
    <row r="23" spans="1:11" s="8" customFormat="1" ht="15.75">
      <c r="A23" s="268" t="s">
        <v>155</v>
      </c>
      <c r="B23" s="269">
        <f aca="true" t="shared" si="2" ref="B23:G23">SUM(B3:B22)</f>
        <v>47408</v>
      </c>
      <c r="C23" s="269">
        <f t="shared" si="2"/>
        <v>2673</v>
      </c>
      <c r="D23" s="269">
        <f t="shared" si="2"/>
        <v>50081</v>
      </c>
      <c r="E23" s="269">
        <f t="shared" si="2"/>
        <v>14459</v>
      </c>
      <c r="F23" s="269">
        <f t="shared" si="2"/>
        <v>47499</v>
      </c>
      <c r="G23" s="269">
        <f t="shared" si="2"/>
        <v>2690</v>
      </c>
      <c r="H23" s="269">
        <f t="shared" si="1"/>
        <v>50189</v>
      </c>
      <c r="I23" s="271">
        <f>SUM(I3:I22)</f>
        <v>13559</v>
      </c>
      <c r="J23" s="6"/>
      <c r="K23" s="6"/>
    </row>
    <row r="24" spans="5:9" ht="15.75">
      <c r="E24" s="30"/>
      <c r="I24" s="225" t="s">
        <v>217</v>
      </c>
    </row>
  </sheetData>
  <mergeCells count="1">
    <mergeCell ref="A1:I1"/>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83" r:id="rId1"/>
</worksheet>
</file>

<file path=xl/worksheets/sheet29.xml><?xml version="1.0" encoding="utf-8"?>
<worksheet xmlns="http://schemas.openxmlformats.org/spreadsheetml/2006/main" xmlns:r="http://schemas.openxmlformats.org/officeDocument/2006/relationships">
  <sheetPr>
    <tabColor indexed="11"/>
    <pageSetUpPr fitToPage="1"/>
  </sheetPr>
  <dimension ref="A1:D50"/>
  <sheetViews>
    <sheetView workbookViewId="0" topLeftCell="A22">
      <selection activeCell="C53" sqref="C53"/>
    </sheetView>
  </sheetViews>
  <sheetFormatPr defaultColWidth="9.140625" defaultRowHeight="12.75"/>
  <cols>
    <col min="1" max="1" width="18.7109375" style="388" customWidth="1"/>
    <col min="2" max="2" width="25.57421875" style="388" customWidth="1"/>
    <col min="3" max="3" width="37.57421875" style="388" customWidth="1"/>
    <col min="4" max="4" width="29.7109375" style="388" bestFit="1" customWidth="1"/>
    <col min="5" max="6" width="18.7109375" style="388" customWidth="1"/>
    <col min="7" max="7" width="9.140625" style="388" customWidth="1"/>
    <col min="8" max="8" width="15.421875" style="388" bestFit="1" customWidth="1"/>
    <col min="9" max="16384" width="9.140625" style="388" customWidth="1"/>
  </cols>
  <sheetData>
    <row r="1" spans="1:2" ht="15.75" hidden="1">
      <c r="A1" s="387" t="s">
        <v>426</v>
      </c>
      <c r="B1" s="387" t="s">
        <v>427</v>
      </c>
    </row>
    <row r="2" spans="1:4" ht="75" customHeight="1">
      <c r="A2" s="595" t="s">
        <v>641</v>
      </c>
      <c r="B2" s="595"/>
      <c r="C2" s="595"/>
      <c r="D2" s="595"/>
    </row>
    <row r="3" spans="1:4" ht="15.75">
      <c r="A3" s="473" t="s">
        <v>428</v>
      </c>
      <c r="B3" s="597" t="s">
        <v>429</v>
      </c>
      <c r="C3" s="390" t="s">
        <v>430</v>
      </c>
      <c r="D3" s="385">
        <v>59904053.23</v>
      </c>
    </row>
    <row r="4" spans="1:4" ht="15.75">
      <c r="A4" s="475"/>
      <c r="B4" s="598"/>
      <c r="C4" s="390" t="s">
        <v>431</v>
      </c>
      <c r="D4" s="385">
        <v>2275951.6</v>
      </c>
    </row>
    <row r="5" spans="1:4" ht="15.75">
      <c r="A5" s="475"/>
      <c r="B5" s="598"/>
      <c r="C5" s="390" t="s">
        <v>432</v>
      </c>
      <c r="D5" s="385">
        <v>1085265.34</v>
      </c>
    </row>
    <row r="6" spans="1:4" ht="31.5">
      <c r="A6" s="475"/>
      <c r="B6" s="598"/>
      <c r="C6" s="390" t="s">
        <v>433</v>
      </c>
      <c r="D6" s="385">
        <v>1784633.05</v>
      </c>
    </row>
    <row r="7" spans="1:4" ht="32.25" thickBot="1">
      <c r="A7" s="475"/>
      <c r="B7" s="599"/>
      <c r="C7" s="391" t="s">
        <v>434</v>
      </c>
      <c r="D7" s="480">
        <v>104175</v>
      </c>
    </row>
    <row r="8" spans="1:4" ht="15.75">
      <c r="A8" s="475"/>
      <c r="B8" s="392" t="s">
        <v>435</v>
      </c>
      <c r="C8" s="393"/>
      <c r="D8" s="481">
        <f>SUM(D3:D7)</f>
        <v>65154078.22</v>
      </c>
    </row>
    <row r="9" spans="1:4" ht="15.75">
      <c r="A9" s="475"/>
      <c r="B9" s="389" t="s">
        <v>436</v>
      </c>
      <c r="C9" s="390" t="s">
        <v>437</v>
      </c>
      <c r="D9" s="385">
        <v>3049942267.05</v>
      </c>
    </row>
    <row r="10" spans="1:4" ht="15.75">
      <c r="A10" s="475"/>
      <c r="B10" s="394"/>
      <c r="C10" s="390" t="s">
        <v>438</v>
      </c>
      <c r="D10" s="385">
        <v>11788025.86</v>
      </c>
    </row>
    <row r="11" spans="1:4" ht="31.5">
      <c r="A11" s="475"/>
      <c r="B11" s="394"/>
      <c r="C11" s="390" t="s">
        <v>439</v>
      </c>
      <c r="D11" s="385">
        <v>1183107120.29</v>
      </c>
    </row>
    <row r="12" spans="1:4" ht="15.75">
      <c r="A12" s="475"/>
      <c r="B12" s="394"/>
      <c r="C12" s="390" t="s">
        <v>440</v>
      </c>
      <c r="D12" s="385">
        <v>10867923791.42</v>
      </c>
    </row>
    <row r="13" spans="1:4" ht="15.75">
      <c r="A13" s="475"/>
      <c r="B13" s="394"/>
      <c r="C13" s="390" t="s">
        <v>441</v>
      </c>
      <c r="D13" s="385">
        <v>1348570867.9</v>
      </c>
    </row>
    <row r="14" spans="1:4" ht="15.75">
      <c r="A14" s="475"/>
      <c r="B14" s="394"/>
      <c r="C14" s="390" t="s">
        <v>442</v>
      </c>
      <c r="D14" s="385">
        <v>56969331.01</v>
      </c>
    </row>
    <row r="15" spans="1:4" ht="15.75">
      <c r="A15" s="475"/>
      <c r="B15" s="394"/>
      <c r="C15" s="390" t="s">
        <v>443</v>
      </c>
      <c r="D15" s="385">
        <v>1125957.65</v>
      </c>
    </row>
    <row r="16" spans="1:4" ht="15.75">
      <c r="A16" s="475"/>
      <c r="B16" s="394"/>
      <c r="C16" s="390" t="s">
        <v>444</v>
      </c>
      <c r="D16" s="385">
        <v>68110</v>
      </c>
    </row>
    <row r="17" spans="1:4" ht="15.75">
      <c r="A17" s="475"/>
      <c r="B17" s="394"/>
      <c r="C17" s="390" t="s">
        <v>445</v>
      </c>
      <c r="D17" s="385">
        <v>31252691.24</v>
      </c>
    </row>
    <row r="18" spans="1:4" ht="15.75">
      <c r="A18" s="475"/>
      <c r="B18" s="394"/>
      <c r="C18" s="390" t="s">
        <v>446</v>
      </c>
      <c r="D18" s="385">
        <v>46434697.35</v>
      </c>
    </row>
    <row r="19" spans="1:4" ht="31.5">
      <c r="A19" s="475"/>
      <c r="B19" s="394"/>
      <c r="C19" s="390" t="s">
        <v>447</v>
      </c>
      <c r="D19" s="385">
        <v>4853159</v>
      </c>
    </row>
    <row r="20" spans="1:4" ht="15.75">
      <c r="A20" s="475"/>
      <c r="B20" s="392" t="s">
        <v>448</v>
      </c>
      <c r="C20" s="393"/>
      <c r="D20" s="481">
        <f>SUM(D9:D19)</f>
        <v>16602036018.77</v>
      </c>
    </row>
    <row r="21" spans="1:4" ht="47.25">
      <c r="A21" s="475"/>
      <c r="B21" s="468" t="s">
        <v>449</v>
      </c>
      <c r="C21" s="390" t="s">
        <v>450</v>
      </c>
      <c r="D21" s="385">
        <v>151934571.43</v>
      </c>
    </row>
    <row r="22" spans="1:4" ht="15.75">
      <c r="A22" s="475"/>
      <c r="B22" s="392" t="s">
        <v>451</v>
      </c>
      <c r="C22" s="393"/>
      <c r="D22" s="481">
        <f>SUM(D21:D21)</f>
        <v>151934571.43</v>
      </c>
    </row>
    <row r="23" spans="1:4" ht="15.75">
      <c r="A23" s="482" t="s">
        <v>452</v>
      </c>
      <c r="B23" s="395"/>
      <c r="C23" s="395"/>
      <c r="D23" s="483">
        <f>D8+D20+D22</f>
        <v>16819124668.42</v>
      </c>
    </row>
    <row r="24" spans="1:4" ht="15.75">
      <c r="A24" s="477" t="s">
        <v>453</v>
      </c>
      <c r="B24" s="389" t="s">
        <v>454</v>
      </c>
      <c r="C24" s="390" t="s">
        <v>455</v>
      </c>
      <c r="D24" s="385">
        <v>81636195.4</v>
      </c>
    </row>
    <row r="25" spans="1:4" ht="15.75">
      <c r="A25" s="475"/>
      <c r="B25" s="394"/>
      <c r="C25" s="390" t="s">
        <v>456</v>
      </c>
      <c r="D25" s="385">
        <v>2342</v>
      </c>
    </row>
    <row r="26" spans="1:4" ht="15.75">
      <c r="A26" s="475"/>
      <c r="B26" s="394"/>
      <c r="C26" s="390" t="s">
        <v>457</v>
      </c>
      <c r="D26" s="385">
        <v>43222990.67</v>
      </c>
    </row>
    <row r="27" spans="1:4" ht="15.75">
      <c r="A27" s="475"/>
      <c r="B27" s="394"/>
      <c r="C27" s="390" t="s">
        <v>458</v>
      </c>
      <c r="D27" s="385">
        <v>677612.5</v>
      </c>
    </row>
    <row r="28" spans="1:4" ht="15.75">
      <c r="A28" s="475"/>
      <c r="B28" s="394"/>
      <c r="C28" s="390" t="s">
        <v>459</v>
      </c>
      <c r="D28" s="385">
        <v>20035829.53</v>
      </c>
    </row>
    <row r="29" spans="1:4" ht="15.75">
      <c r="A29" s="475"/>
      <c r="B29" s="394"/>
      <c r="C29" s="390" t="s">
        <v>460</v>
      </c>
      <c r="D29" s="385">
        <v>26702874.72</v>
      </c>
    </row>
    <row r="30" spans="1:4" ht="15.75">
      <c r="A30" s="475"/>
      <c r="B30" s="392" t="s">
        <v>461</v>
      </c>
      <c r="C30" s="393"/>
      <c r="D30" s="481">
        <f>SUM(D24:D29)</f>
        <v>172277844.82000002</v>
      </c>
    </row>
    <row r="31" spans="1:4" ht="15.75">
      <c r="A31" s="475"/>
      <c r="B31" s="389" t="s">
        <v>462</v>
      </c>
      <c r="C31" s="390" t="s">
        <v>463</v>
      </c>
      <c r="D31" s="385">
        <v>39905664.28</v>
      </c>
    </row>
    <row r="32" spans="1:4" ht="31.5">
      <c r="A32" s="475"/>
      <c r="B32" s="394"/>
      <c r="C32" s="390" t="s">
        <v>464</v>
      </c>
      <c r="D32" s="385">
        <v>40000</v>
      </c>
    </row>
    <row r="33" spans="1:4" ht="15.75">
      <c r="A33" s="475"/>
      <c r="B33" s="394"/>
      <c r="C33" s="390" t="s">
        <v>465</v>
      </c>
      <c r="D33" s="385">
        <v>73773.97</v>
      </c>
    </row>
    <row r="34" spans="1:4" ht="15.75">
      <c r="A34" s="475"/>
      <c r="B34" s="392" t="s">
        <v>466</v>
      </c>
      <c r="C34" s="393"/>
      <c r="D34" s="481">
        <f>SUM(D31:D33)</f>
        <v>40019438.25</v>
      </c>
    </row>
    <row r="35" spans="1:4" ht="15.75">
      <c r="A35" s="475"/>
      <c r="B35" s="389" t="s">
        <v>467</v>
      </c>
      <c r="C35" s="390" t="s">
        <v>463</v>
      </c>
      <c r="D35" s="385">
        <v>217482811.61</v>
      </c>
    </row>
    <row r="36" spans="1:4" ht="15.75">
      <c r="A36" s="475"/>
      <c r="B36" s="394"/>
      <c r="C36" s="390" t="s">
        <v>468</v>
      </c>
      <c r="D36" s="385">
        <v>114819277.54</v>
      </c>
    </row>
    <row r="37" spans="1:4" ht="15.75">
      <c r="A37" s="475"/>
      <c r="B37" s="394"/>
      <c r="C37" s="390" t="s">
        <v>469</v>
      </c>
      <c r="D37" s="385">
        <v>123412628.67</v>
      </c>
    </row>
    <row r="38" spans="1:4" ht="15.75">
      <c r="A38" s="475"/>
      <c r="B38" s="394"/>
      <c r="C38" s="390" t="s">
        <v>470</v>
      </c>
      <c r="D38" s="385">
        <v>0</v>
      </c>
    </row>
    <row r="39" spans="1:4" ht="15.75">
      <c r="A39" s="475"/>
      <c r="B39" s="394"/>
      <c r="C39" s="390" t="s">
        <v>465</v>
      </c>
      <c r="D39" s="385">
        <v>39362993.23</v>
      </c>
    </row>
    <row r="40" spans="1:4" ht="15.75">
      <c r="A40" s="475"/>
      <c r="B40" s="392" t="s">
        <v>471</v>
      </c>
      <c r="C40" s="393"/>
      <c r="D40" s="481">
        <f>SUM(D35:D39)</f>
        <v>495077711.0500001</v>
      </c>
    </row>
    <row r="41" spans="1:4" ht="15.75">
      <c r="A41" s="475"/>
      <c r="B41" s="389" t="s">
        <v>472</v>
      </c>
      <c r="C41" s="390" t="s">
        <v>473</v>
      </c>
      <c r="D41" s="385">
        <v>4233814.26</v>
      </c>
    </row>
    <row r="42" spans="1:4" ht="15.75">
      <c r="A42" s="475"/>
      <c r="B42" s="394"/>
      <c r="C42" s="390" t="s">
        <v>474</v>
      </c>
      <c r="D42" s="385">
        <v>3777941410.93</v>
      </c>
    </row>
    <row r="43" spans="1:4" ht="15.75">
      <c r="A43" s="475"/>
      <c r="B43" s="392" t="s">
        <v>475</v>
      </c>
      <c r="C43" s="393"/>
      <c r="D43" s="481">
        <f>SUM(D41:D42)</f>
        <v>3782175225.19</v>
      </c>
    </row>
    <row r="44" spans="1:4" ht="15.75">
      <c r="A44" s="482" t="s">
        <v>476</v>
      </c>
      <c r="B44" s="395"/>
      <c r="C44" s="395"/>
      <c r="D44" s="484">
        <f>D30+D34+D40+D43</f>
        <v>4489550219.31</v>
      </c>
    </row>
    <row r="45" spans="1:4" ht="15.75">
      <c r="A45" s="477" t="s">
        <v>477</v>
      </c>
      <c r="B45" s="389" t="s">
        <v>478</v>
      </c>
      <c r="C45" s="390" t="s">
        <v>479</v>
      </c>
      <c r="D45" s="385">
        <v>34724477.03</v>
      </c>
    </row>
    <row r="46" spans="1:4" ht="15.75">
      <c r="A46" s="475"/>
      <c r="B46" s="394"/>
      <c r="C46" s="390" t="s">
        <v>480</v>
      </c>
      <c r="D46" s="385">
        <v>17212700.84</v>
      </c>
    </row>
    <row r="47" spans="1:4" ht="15.75">
      <c r="A47" s="475"/>
      <c r="B47" s="394"/>
      <c r="C47" s="390" t="s">
        <v>481</v>
      </c>
      <c r="D47" s="385">
        <v>1779273.46</v>
      </c>
    </row>
    <row r="48" spans="1:4" ht="15.75">
      <c r="A48" s="475"/>
      <c r="B48" s="392" t="s">
        <v>482</v>
      </c>
      <c r="C48" s="393"/>
      <c r="D48" s="481">
        <f>SUM(D45:D47)</f>
        <v>53716451.330000006</v>
      </c>
    </row>
    <row r="49" spans="1:4" ht="15.75">
      <c r="A49" s="482" t="s">
        <v>483</v>
      </c>
      <c r="B49" s="395"/>
      <c r="C49" s="395"/>
      <c r="D49" s="484">
        <f>D48</f>
        <v>53716451.330000006</v>
      </c>
    </row>
    <row r="50" spans="1:4" ht="15.75">
      <c r="A50" s="485" t="s">
        <v>484</v>
      </c>
      <c r="B50" s="486"/>
      <c r="C50" s="486"/>
      <c r="D50" s="487">
        <f>D23+D44+D49</f>
        <v>21362391339.06</v>
      </c>
    </row>
  </sheetData>
  <mergeCells count="2">
    <mergeCell ref="A2:D2"/>
    <mergeCell ref="B3:B7"/>
  </mergeCells>
  <printOptions horizontalCentered="1"/>
  <pageMargins left="0.34" right="0.31" top="0.36" bottom="0.17" header="0.39" footer="0.17"/>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codeName="Hárok3">
    <tabColor indexed="42"/>
  </sheetPr>
  <dimension ref="A1:K32"/>
  <sheetViews>
    <sheetView zoomScaleSheetLayoutView="85" workbookViewId="0" topLeftCell="A1">
      <pane xSplit="1" ySplit="2" topLeftCell="B3" activePane="bottomRight" state="frozen"/>
      <selection pane="topLeft" activeCell="C12" sqref="C12"/>
      <selection pane="topRight" activeCell="C12" sqref="C12"/>
      <selection pane="bottomLeft" activeCell="C12" sqref="C12"/>
      <selection pane="bottomRight" activeCell="E17" sqref="E17"/>
    </sheetView>
  </sheetViews>
  <sheetFormatPr defaultColWidth="9.140625" defaultRowHeight="12.75"/>
  <cols>
    <col min="1" max="1" width="25.7109375" style="0" customWidth="1"/>
    <col min="2" max="10" width="15.7109375" style="0" customWidth="1"/>
  </cols>
  <sheetData>
    <row r="1" spans="1:10" ht="75" customHeight="1">
      <c r="A1" s="569" t="s">
        <v>245</v>
      </c>
      <c r="B1" s="569"/>
      <c r="C1" s="569"/>
      <c r="D1" s="569"/>
      <c r="E1" s="569"/>
      <c r="F1" s="569"/>
      <c r="G1" s="569"/>
      <c r="H1" s="569"/>
      <c r="I1" s="569"/>
      <c r="J1" s="569"/>
    </row>
    <row r="2" spans="1:10" ht="90" customHeight="1">
      <c r="A2" s="132" t="s">
        <v>154</v>
      </c>
      <c r="B2" s="132" t="s">
        <v>200</v>
      </c>
      <c r="C2" s="132" t="s">
        <v>201</v>
      </c>
      <c r="D2" s="132" t="s">
        <v>202</v>
      </c>
      <c r="E2" s="132" t="s">
        <v>3</v>
      </c>
      <c r="F2" s="132" t="s">
        <v>4</v>
      </c>
      <c r="G2" s="132" t="s">
        <v>5</v>
      </c>
      <c r="H2" s="102" t="s">
        <v>35</v>
      </c>
      <c r="I2" s="105" t="s">
        <v>36</v>
      </c>
      <c r="J2" s="102" t="s">
        <v>27</v>
      </c>
    </row>
    <row r="3" spans="1:10" ht="15">
      <c r="A3" s="111" t="s">
        <v>60</v>
      </c>
      <c r="B3" s="147">
        <v>755</v>
      </c>
      <c r="C3" s="147">
        <v>1860</v>
      </c>
      <c r="D3" s="148">
        <f>+B3+C3</f>
        <v>2615</v>
      </c>
      <c r="E3" s="149">
        <v>819</v>
      </c>
      <c r="F3" s="149">
        <v>1749</v>
      </c>
      <c r="G3" s="148">
        <f>+E3+F3</f>
        <v>2568</v>
      </c>
      <c r="H3" s="150">
        <f aca="true" t="shared" si="0" ref="H3:H27">+E3-B3</f>
        <v>64</v>
      </c>
      <c r="I3" s="151">
        <f aca="true" t="shared" si="1" ref="I3:I27">+F3-C3</f>
        <v>-111</v>
      </c>
      <c r="J3" s="150">
        <f>+H3+I3</f>
        <v>-47</v>
      </c>
    </row>
    <row r="4" spans="1:10" ht="15">
      <c r="A4" s="111" t="s">
        <v>78</v>
      </c>
      <c r="B4" s="147">
        <v>139</v>
      </c>
      <c r="C4" s="147">
        <v>303</v>
      </c>
      <c r="D4" s="148">
        <f aca="true" t="shared" si="2" ref="D4:D22">+B4+C4</f>
        <v>442</v>
      </c>
      <c r="E4" s="149">
        <v>168</v>
      </c>
      <c r="F4" s="149">
        <v>298</v>
      </c>
      <c r="G4" s="148">
        <f aca="true" t="shared" si="3" ref="G4:G22">+E4+F4</f>
        <v>466</v>
      </c>
      <c r="H4" s="150">
        <f t="shared" si="0"/>
        <v>29</v>
      </c>
      <c r="I4" s="151">
        <f t="shared" si="1"/>
        <v>-5</v>
      </c>
      <c r="J4" s="150">
        <f aca="true" t="shared" si="4" ref="J4:J27">+H4+I4</f>
        <v>24</v>
      </c>
    </row>
    <row r="5" spans="1:10" ht="15">
      <c r="A5" s="111" t="s">
        <v>80</v>
      </c>
      <c r="B5" s="147">
        <v>100</v>
      </c>
      <c r="C5" s="147">
        <v>222</v>
      </c>
      <c r="D5" s="148">
        <f t="shared" si="2"/>
        <v>322</v>
      </c>
      <c r="E5" s="149">
        <v>90</v>
      </c>
      <c r="F5" s="149">
        <v>290</v>
      </c>
      <c r="G5" s="148">
        <f t="shared" si="3"/>
        <v>380</v>
      </c>
      <c r="H5" s="150">
        <f t="shared" si="0"/>
        <v>-10</v>
      </c>
      <c r="I5" s="151">
        <f t="shared" si="1"/>
        <v>68</v>
      </c>
      <c r="J5" s="150">
        <f t="shared" si="4"/>
        <v>58</v>
      </c>
    </row>
    <row r="6" spans="1:10" ht="15">
      <c r="A6" s="111" t="s">
        <v>87</v>
      </c>
      <c r="B6" s="147">
        <v>0</v>
      </c>
      <c r="C6" s="147">
        <v>0</v>
      </c>
      <c r="D6" s="148">
        <f t="shared" si="2"/>
        <v>0</v>
      </c>
      <c r="E6" s="149">
        <v>4</v>
      </c>
      <c r="F6" s="149">
        <v>1</v>
      </c>
      <c r="G6" s="148">
        <f t="shared" si="3"/>
        <v>5</v>
      </c>
      <c r="H6" s="150">
        <f t="shared" si="0"/>
        <v>4</v>
      </c>
      <c r="I6" s="151">
        <f t="shared" si="1"/>
        <v>1</v>
      </c>
      <c r="J6" s="150">
        <f t="shared" si="4"/>
        <v>5</v>
      </c>
    </row>
    <row r="7" spans="1:10" ht="15">
      <c r="A7" s="111" t="s">
        <v>90</v>
      </c>
      <c r="B7" s="147">
        <v>59</v>
      </c>
      <c r="C7" s="147">
        <v>96</v>
      </c>
      <c r="D7" s="148">
        <f t="shared" si="2"/>
        <v>155</v>
      </c>
      <c r="E7" s="149">
        <v>69</v>
      </c>
      <c r="F7" s="149">
        <v>75</v>
      </c>
      <c r="G7" s="148">
        <f t="shared" si="3"/>
        <v>144</v>
      </c>
      <c r="H7" s="150">
        <f t="shared" si="0"/>
        <v>10</v>
      </c>
      <c r="I7" s="151">
        <f t="shared" si="1"/>
        <v>-21</v>
      </c>
      <c r="J7" s="150">
        <f t="shared" si="4"/>
        <v>-11</v>
      </c>
    </row>
    <row r="8" spans="1:10" ht="15">
      <c r="A8" s="111" t="s">
        <v>91</v>
      </c>
      <c r="B8" s="147">
        <v>124</v>
      </c>
      <c r="C8" s="147">
        <v>273</v>
      </c>
      <c r="D8" s="148">
        <f t="shared" si="2"/>
        <v>397</v>
      </c>
      <c r="E8" s="149">
        <v>143</v>
      </c>
      <c r="F8" s="149">
        <v>317</v>
      </c>
      <c r="G8" s="148">
        <f t="shared" si="3"/>
        <v>460</v>
      </c>
      <c r="H8" s="150">
        <f t="shared" si="0"/>
        <v>19</v>
      </c>
      <c r="I8" s="151">
        <f t="shared" si="1"/>
        <v>44</v>
      </c>
      <c r="J8" s="150">
        <f t="shared" si="4"/>
        <v>63</v>
      </c>
    </row>
    <row r="9" spans="1:10" ht="15">
      <c r="A9" s="111" t="s">
        <v>94</v>
      </c>
      <c r="B9" s="147">
        <v>118</v>
      </c>
      <c r="C9" s="147">
        <v>315</v>
      </c>
      <c r="D9" s="148">
        <f t="shared" si="2"/>
        <v>433</v>
      </c>
      <c r="E9" s="149">
        <v>134</v>
      </c>
      <c r="F9" s="149">
        <v>274</v>
      </c>
      <c r="G9" s="148">
        <f t="shared" si="3"/>
        <v>408</v>
      </c>
      <c r="H9" s="150">
        <f t="shared" si="0"/>
        <v>16</v>
      </c>
      <c r="I9" s="151">
        <f t="shared" si="1"/>
        <v>-41</v>
      </c>
      <c r="J9" s="150">
        <f t="shared" si="4"/>
        <v>-25</v>
      </c>
    </row>
    <row r="10" spans="1:10" ht="15">
      <c r="A10" s="111" t="s">
        <v>98</v>
      </c>
      <c r="B10" s="147">
        <v>145</v>
      </c>
      <c r="C10" s="147">
        <v>451</v>
      </c>
      <c r="D10" s="148">
        <f t="shared" si="2"/>
        <v>596</v>
      </c>
      <c r="E10" s="149">
        <v>125</v>
      </c>
      <c r="F10" s="149">
        <v>495</v>
      </c>
      <c r="G10" s="148">
        <f t="shared" si="3"/>
        <v>620</v>
      </c>
      <c r="H10" s="150">
        <f t="shared" si="0"/>
        <v>-20</v>
      </c>
      <c r="I10" s="151">
        <f t="shared" si="1"/>
        <v>44</v>
      </c>
      <c r="J10" s="150">
        <f t="shared" si="4"/>
        <v>24</v>
      </c>
    </row>
    <row r="11" spans="1:10" ht="15">
      <c r="A11" s="111" t="s">
        <v>101</v>
      </c>
      <c r="B11" s="147">
        <v>615</v>
      </c>
      <c r="C11" s="147">
        <v>946</v>
      </c>
      <c r="D11" s="148">
        <f t="shared" si="2"/>
        <v>1561</v>
      </c>
      <c r="E11" s="149">
        <v>636</v>
      </c>
      <c r="F11" s="149">
        <v>895</v>
      </c>
      <c r="G11" s="148">
        <f t="shared" si="3"/>
        <v>1531</v>
      </c>
      <c r="H11" s="150">
        <f t="shared" si="0"/>
        <v>21</v>
      </c>
      <c r="I11" s="151">
        <f t="shared" si="1"/>
        <v>-51</v>
      </c>
      <c r="J11" s="150">
        <f t="shared" si="4"/>
        <v>-30</v>
      </c>
    </row>
    <row r="12" spans="1:10" ht="15">
      <c r="A12" s="111" t="s">
        <v>106</v>
      </c>
      <c r="B12" s="147">
        <v>282</v>
      </c>
      <c r="C12" s="147">
        <v>653</v>
      </c>
      <c r="D12" s="148">
        <f t="shared" si="2"/>
        <v>935</v>
      </c>
      <c r="E12" s="149">
        <v>323</v>
      </c>
      <c r="F12" s="149">
        <v>589</v>
      </c>
      <c r="G12" s="148">
        <f t="shared" si="3"/>
        <v>912</v>
      </c>
      <c r="H12" s="150">
        <f t="shared" si="0"/>
        <v>41</v>
      </c>
      <c r="I12" s="151">
        <f t="shared" si="1"/>
        <v>-64</v>
      </c>
      <c r="J12" s="150">
        <f t="shared" si="4"/>
        <v>-23</v>
      </c>
    </row>
    <row r="13" spans="1:10" ht="15">
      <c r="A13" s="111" t="s">
        <v>111</v>
      </c>
      <c r="B13" s="147">
        <v>231</v>
      </c>
      <c r="C13" s="147">
        <v>520</v>
      </c>
      <c r="D13" s="148">
        <f t="shared" si="2"/>
        <v>751</v>
      </c>
      <c r="E13" s="149">
        <v>239</v>
      </c>
      <c r="F13" s="149">
        <v>474</v>
      </c>
      <c r="G13" s="148">
        <f t="shared" si="3"/>
        <v>713</v>
      </c>
      <c r="H13" s="150">
        <f t="shared" si="0"/>
        <v>8</v>
      </c>
      <c r="I13" s="151">
        <f t="shared" si="1"/>
        <v>-46</v>
      </c>
      <c r="J13" s="150">
        <f t="shared" si="4"/>
        <v>-38</v>
      </c>
    </row>
    <row r="14" spans="1:10" ht="15">
      <c r="A14" s="111" t="s">
        <v>115</v>
      </c>
      <c r="B14" s="147">
        <v>34</v>
      </c>
      <c r="C14" s="147">
        <v>66</v>
      </c>
      <c r="D14" s="148">
        <f t="shared" si="2"/>
        <v>100</v>
      </c>
      <c r="E14" s="149">
        <v>42</v>
      </c>
      <c r="F14" s="149">
        <v>88</v>
      </c>
      <c r="G14" s="148">
        <f t="shared" si="3"/>
        <v>130</v>
      </c>
      <c r="H14" s="150">
        <f t="shared" si="0"/>
        <v>8</v>
      </c>
      <c r="I14" s="151">
        <f t="shared" si="1"/>
        <v>22</v>
      </c>
      <c r="J14" s="150">
        <f t="shared" si="4"/>
        <v>30</v>
      </c>
    </row>
    <row r="15" spans="1:10" ht="15">
      <c r="A15" s="111" t="s">
        <v>120</v>
      </c>
      <c r="B15" s="147">
        <v>123</v>
      </c>
      <c r="C15" s="147">
        <v>591</v>
      </c>
      <c r="D15" s="148">
        <f t="shared" si="2"/>
        <v>714</v>
      </c>
      <c r="E15" s="149">
        <v>194</v>
      </c>
      <c r="F15" s="149">
        <v>577</v>
      </c>
      <c r="G15" s="148">
        <f t="shared" si="3"/>
        <v>771</v>
      </c>
      <c r="H15" s="150">
        <f t="shared" si="0"/>
        <v>71</v>
      </c>
      <c r="I15" s="151">
        <f t="shared" si="1"/>
        <v>-14</v>
      </c>
      <c r="J15" s="150">
        <f t="shared" si="4"/>
        <v>57</v>
      </c>
    </row>
    <row r="16" spans="1:10" ht="15">
      <c r="A16" s="111" t="s">
        <v>127</v>
      </c>
      <c r="B16" s="147">
        <v>198</v>
      </c>
      <c r="C16" s="147">
        <v>249</v>
      </c>
      <c r="D16" s="148">
        <f t="shared" si="2"/>
        <v>447</v>
      </c>
      <c r="E16" s="149">
        <v>205</v>
      </c>
      <c r="F16" s="149">
        <v>266</v>
      </c>
      <c r="G16" s="148">
        <f t="shared" si="3"/>
        <v>471</v>
      </c>
      <c r="H16" s="150">
        <f t="shared" si="0"/>
        <v>7</v>
      </c>
      <c r="I16" s="151">
        <f t="shared" si="1"/>
        <v>17</v>
      </c>
      <c r="J16" s="150">
        <f t="shared" si="4"/>
        <v>24</v>
      </c>
    </row>
    <row r="17" spans="1:10" ht="15">
      <c r="A17" s="111" t="s">
        <v>133</v>
      </c>
      <c r="B17" s="147">
        <v>146</v>
      </c>
      <c r="C17" s="147">
        <v>287</v>
      </c>
      <c r="D17" s="148">
        <f t="shared" si="2"/>
        <v>433</v>
      </c>
      <c r="E17" s="149">
        <v>138</v>
      </c>
      <c r="F17" s="149">
        <v>258</v>
      </c>
      <c r="G17" s="148">
        <f t="shared" si="3"/>
        <v>396</v>
      </c>
      <c r="H17" s="150">
        <f t="shared" si="0"/>
        <v>-8</v>
      </c>
      <c r="I17" s="151">
        <f t="shared" si="1"/>
        <v>-29</v>
      </c>
      <c r="J17" s="150">
        <f t="shared" si="4"/>
        <v>-37</v>
      </c>
    </row>
    <row r="18" spans="1:10" ht="15">
      <c r="A18" s="111" t="s">
        <v>137</v>
      </c>
      <c r="B18" s="147">
        <v>84</v>
      </c>
      <c r="C18" s="147">
        <v>88</v>
      </c>
      <c r="D18" s="148">
        <f t="shared" si="2"/>
        <v>172</v>
      </c>
      <c r="E18" s="149">
        <v>91</v>
      </c>
      <c r="F18" s="149">
        <v>71</v>
      </c>
      <c r="G18" s="148">
        <f t="shared" si="3"/>
        <v>162</v>
      </c>
      <c r="H18" s="150">
        <f t="shared" si="0"/>
        <v>7</v>
      </c>
      <c r="I18" s="152">
        <f t="shared" si="1"/>
        <v>-17</v>
      </c>
      <c r="J18" s="150">
        <f t="shared" si="4"/>
        <v>-10</v>
      </c>
    </row>
    <row r="19" spans="1:10" ht="15">
      <c r="A19" s="111" t="s">
        <v>141</v>
      </c>
      <c r="B19" s="147">
        <v>33</v>
      </c>
      <c r="C19" s="147">
        <v>40</v>
      </c>
      <c r="D19" s="148">
        <f t="shared" si="2"/>
        <v>73</v>
      </c>
      <c r="E19" s="149">
        <v>38</v>
      </c>
      <c r="F19" s="149">
        <v>37</v>
      </c>
      <c r="G19" s="148">
        <f t="shared" si="3"/>
        <v>75</v>
      </c>
      <c r="H19" s="150">
        <f t="shared" si="0"/>
        <v>5</v>
      </c>
      <c r="I19" s="151">
        <f t="shared" si="1"/>
        <v>-3</v>
      </c>
      <c r="J19" s="150">
        <f t="shared" si="4"/>
        <v>2</v>
      </c>
    </row>
    <row r="20" spans="1:10" ht="15">
      <c r="A20" s="111" t="s">
        <v>142</v>
      </c>
      <c r="B20" s="147">
        <v>0</v>
      </c>
      <c r="C20" s="147">
        <v>0</v>
      </c>
      <c r="D20" s="148">
        <f t="shared" si="2"/>
        <v>0</v>
      </c>
      <c r="E20" s="149">
        <v>8</v>
      </c>
      <c r="F20" s="149">
        <v>0</v>
      </c>
      <c r="G20" s="148">
        <f t="shared" si="3"/>
        <v>8</v>
      </c>
      <c r="H20" s="150">
        <f t="shared" si="0"/>
        <v>8</v>
      </c>
      <c r="I20" s="151">
        <f t="shared" si="1"/>
        <v>0</v>
      </c>
      <c r="J20" s="150">
        <f t="shared" si="4"/>
        <v>8</v>
      </c>
    </row>
    <row r="21" spans="1:10" ht="15">
      <c r="A21" s="111" t="s">
        <v>146</v>
      </c>
      <c r="B21" s="147">
        <v>44</v>
      </c>
      <c r="C21" s="147">
        <v>131</v>
      </c>
      <c r="D21" s="148">
        <f t="shared" si="2"/>
        <v>175</v>
      </c>
      <c r="E21" s="149">
        <v>52</v>
      </c>
      <c r="F21" s="149">
        <v>166</v>
      </c>
      <c r="G21" s="148">
        <f t="shared" si="3"/>
        <v>218</v>
      </c>
      <c r="H21" s="150">
        <f t="shared" si="0"/>
        <v>8</v>
      </c>
      <c r="I21" s="151">
        <f t="shared" si="1"/>
        <v>35</v>
      </c>
      <c r="J21" s="150">
        <f t="shared" si="4"/>
        <v>43</v>
      </c>
    </row>
    <row r="22" spans="1:10" ht="15">
      <c r="A22" s="111" t="s">
        <v>147</v>
      </c>
      <c r="B22" s="147">
        <v>0</v>
      </c>
      <c r="C22" s="147">
        <v>0</v>
      </c>
      <c r="D22" s="148">
        <f t="shared" si="2"/>
        <v>0</v>
      </c>
      <c r="E22" s="149">
        <v>4</v>
      </c>
      <c r="F22" s="149">
        <v>4</v>
      </c>
      <c r="G22" s="148">
        <f t="shared" si="3"/>
        <v>8</v>
      </c>
      <c r="H22" s="150">
        <f t="shared" si="0"/>
        <v>4</v>
      </c>
      <c r="I22" s="151">
        <f t="shared" si="1"/>
        <v>4</v>
      </c>
      <c r="J22" s="150">
        <f t="shared" si="4"/>
        <v>8</v>
      </c>
    </row>
    <row r="23" spans="1:10" s="14" customFormat="1" ht="15">
      <c r="A23" s="153" t="s">
        <v>188</v>
      </c>
      <c r="B23" s="154">
        <f aca="true" t="shared" si="5" ref="B23:G23">SUM(B3:B22)</f>
        <v>3230</v>
      </c>
      <c r="C23" s="154">
        <f t="shared" si="5"/>
        <v>7091</v>
      </c>
      <c r="D23" s="154">
        <f t="shared" si="5"/>
        <v>10321</v>
      </c>
      <c r="E23" s="154">
        <f t="shared" si="5"/>
        <v>3522</v>
      </c>
      <c r="F23" s="154">
        <f t="shared" si="5"/>
        <v>6924</v>
      </c>
      <c r="G23" s="154">
        <f t="shared" si="5"/>
        <v>10446</v>
      </c>
      <c r="H23" s="138">
        <f t="shared" si="0"/>
        <v>292</v>
      </c>
      <c r="I23" s="138">
        <f t="shared" si="1"/>
        <v>-167</v>
      </c>
      <c r="J23" s="138">
        <f t="shared" si="4"/>
        <v>125</v>
      </c>
    </row>
    <row r="24" spans="1:10" ht="15">
      <c r="A24" s="111" t="s">
        <v>229</v>
      </c>
      <c r="B24" s="155">
        <v>0</v>
      </c>
      <c r="C24" s="155">
        <v>87</v>
      </c>
      <c r="D24" s="155">
        <f>+B24+C24</f>
        <v>87</v>
      </c>
      <c r="E24" s="156">
        <v>7</v>
      </c>
      <c r="F24" s="149">
        <v>170</v>
      </c>
      <c r="G24" s="148">
        <f>E24+F24</f>
        <v>177</v>
      </c>
      <c r="H24" s="150">
        <f t="shared" si="0"/>
        <v>7</v>
      </c>
      <c r="I24" s="152">
        <f t="shared" si="1"/>
        <v>83</v>
      </c>
      <c r="J24" s="150">
        <f t="shared" si="4"/>
        <v>90</v>
      </c>
    </row>
    <row r="25" spans="1:10" ht="15">
      <c r="A25" s="111" t="s">
        <v>152</v>
      </c>
      <c r="B25" s="155">
        <v>0</v>
      </c>
      <c r="C25" s="155">
        <v>0</v>
      </c>
      <c r="D25" s="155">
        <f>+B25+C25</f>
        <v>0</v>
      </c>
      <c r="E25" s="149">
        <v>5</v>
      </c>
      <c r="F25" s="149">
        <v>24</v>
      </c>
      <c r="G25" s="148">
        <f>E25+F25</f>
        <v>29</v>
      </c>
      <c r="H25" s="150">
        <f t="shared" si="0"/>
        <v>5</v>
      </c>
      <c r="I25" s="152">
        <f t="shared" si="1"/>
        <v>24</v>
      </c>
      <c r="J25" s="150">
        <f t="shared" si="4"/>
        <v>29</v>
      </c>
    </row>
    <row r="26" spans="1:10" ht="15">
      <c r="A26" s="157" t="s">
        <v>189</v>
      </c>
      <c r="B26" s="140">
        <f>SUM(B24:B24)</f>
        <v>0</v>
      </c>
      <c r="C26" s="140">
        <f>SUM(C24:C24)</f>
        <v>87</v>
      </c>
      <c r="D26" s="140">
        <f>SUM(D24:D24)</f>
        <v>87</v>
      </c>
      <c r="E26" s="158">
        <f>SUM(E24:E25)</f>
        <v>12</v>
      </c>
      <c r="F26" s="158">
        <f>SUM(F24:F25)</f>
        <v>194</v>
      </c>
      <c r="G26" s="158">
        <f>SUM(G24:G25)</f>
        <v>206</v>
      </c>
      <c r="H26" s="138">
        <f t="shared" si="0"/>
        <v>12</v>
      </c>
      <c r="I26" s="138">
        <f t="shared" si="1"/>
        <v>107</v>
      </c>
      <c r="J26" s="138">
        <f t="shared" si="4"/>
        <v>119</v>
      </c>
    </row>
    <row r="27" spans="1:11" ht="15.75" customHeight="1">
      <c r="A27" s="159" t="s">
        <v>246</v>
      </c>
      <c r="B27" s="160">
        <f aca="true" t="shared" si="6" ref="B27:G27">+B23+B26</f>
        <v>3230</v>
      </c>
      <c r="C27" s="160">
        <f t="shared" si="6"/>
        <v>7178</v>
      </c>
      <c r="D27" s="160">
        <f t="shared" si="6"/>
        <v>10408</v>
      </c>
      <c r="E27" s="161">
        <f t="shared" si="6"/>
        <v>3534</v>
      </c>
      <c r="F27" s="161">
        <f t="shared" si="6"/>
        <v>7118</v>
      </c>
      <c r="G27" s="161">
        <f t="shared" si="6"/>
        <v>10652</v>
      </c>
      <c r="H27" s="162">
        <f t="shared" si="0"/>
        <v>304</v>
      </c>
      <c r="I27" s="162">
        <f t="shared" si="1"/>
        <v>-60</v>
      </c>
      <c r="J27" s="162">
        <f t="shared" si="4"/>
        <v>244</v>
      </c>
      <c r="K27" s="3"/>
    </row>
    <row r="28" spans="1:10" ht="12.75">
      <c r="A28" s="99" t="s">
        <v>265</v>
      </c>
      <c r="B28" s="98"/>
      <c r="C28" s="98"/>
      <c r="D28" s="98"/>
      <c r="E28" s="98"/>
      <c r="F28" s="98"/>
      <c r="G28" s="98"/>
      <c r="H28" s="98"/>
      <c r="J28" s="100" t="s">
        <v>203</v>
      </c>
    </row>
    <row r="29" spans="1:10" ht="15.75">
      <c r="A29" s="99" t="s">
        <v>291</v>
      </c>
      <c r="B29" s="99"/>
      <c r="C29" s="99"/>
      <c r="D29" s="1"/>
      <c r="E29" s="3"/>
      <c r="F29" s="3"/>
      <c r="G29" s="96"/>
      <c r="H29" s="97"/>
      <c r="I29" s="97"/>
      <c r="J29" s="97"/>
    </row>
    <row r="30" spans="2:10" ht="15.75">
      <c r="B30" s="101"/>
      <c r="C30" s="101"/>
      <c r="G30" s="96"/>
      <c r="H30" s="97"/>
      <c r="I30" s="97"/>
      <c r="J30" s="97"/>
    </row>
    <row r="32" spans="5:7" ht="12.75">
      <c r="E32" s="228"/>
      <c r="G32" s="228"/>
    </row>
  </sheetData>
  <mergeCells count="1">
    <mergeCell ref="A1:J1"/>
  </mergeCells>
  <printOptions horizontalCentered="1"/>
  <pageMargins left="0.7874015748031497" right="0.7874015748031497" top="0.984251968503937" bottom="0.984251968503937" header="0.5118110236220472" footer="0.5118110236220472"/>
  <pageSetup horizontalDpi="600" verticalDpi="600" orientation="landscape" paperSize="9" scale="75" r:id="rId1"/>
</worksheet>
</file>

<file path=xl/worksheets/sheet30.xml><?xml version="1.0" encoding="utf-8"?>
<worksheet xmlns="http://schemas.openxmlformats.org/spreadsheetml/2006/main" xmlns:r="http://schemas.openxmlformats.org/officeDocument/2006/relationships">
  <sheetPr>
    <tabColor indexed="11"/>
    <pageSetUpPr fitToPage="1"/>
  </sheetPr>
  <dimension ref="A1:D36"/>
  <sheetViews>
    <sheetView workbookViewId="0" topLeftCell="A29">
      <selection activeCell="A29" sqref="A29"/>
    </sheetView>
  </sheetViews>
  <sheetFormatPr defaultColWidth="9.140625" defaultRowHeight="12.75"/>
  <cols>
    <col min="1" max="1" width="17.140625" style="388" customWidth="1"/>
    <col min="2" max="2" width="28.57421875" style="403" customWidth="1"/>
    <col min="3" max="3" width="29.8515625" style="388" customWidth="1"/>
    <col min="4" max="4" width="25.421875" style="388" customWidth="1"/>
    <col min="5" max="5" width="21.7109375" style="388" customWidth="1"/>
    <col min="6" max="6" width="25.140625" style="388" customWidth="1"/>
    <col min="7" max="7" width="17.28125" style="388" bestFit="1" customWidth="1"/>
    <col min="8" max="8" width="17.421875" style="388" bestFit="1" customWidth="1"/>
    <col min="9" max="16384" width="9.140625" style="388" customWidth="1"/>
  </cols>
  <sheetData>
    <row r="1" spans="1:4" ht="75" customHeight="1">
      <c r="A1" s="595" t="s">
        <v>642</v>
      </c>
      <c r="B1" s="595"/>
      <c r="C1" s="595"/>
      <c r="D1" s="595"/>
    </row>
    <row r="2" spans="1:4" ht="15.75">
      <c r="A2" s="473" t="s">
        <v>485</v>
      </c>
      <c r="B2" s="474" t="s">
        <v>486</v>
      </c>
      <c r="C2" s="471" t="s">
        <v>487</v>
      </c>
      <c r="D2" s="385">
        <v>12402797412.52</v>
      </c>
    </row>
    <row r="3" spans="1:4" ht="31.5">
      <c r="A3" s="475"/>
      <c r="B3" s="394"/>
      <c r="C3" s="471" t="s">
        <v>488</v>
      </c>
      <c r="D3" s="385">
        <v>0</v>
      </c>
    </row>
    <row r="4" spans="1:4" ht="15.75">
      <c r="A4" s="475"/>
      <c r="B4" s="394"/>
      <c r="C4" s="471" t="s">
        <v>489</v>
      </c>
      <c r="D4" s="385">
        <v>1779135805.79</v>
      </c>
    </row>
    <row r="5" spans="1:4" ht="15.75">
      <c r="A5" s="475"/>
      <c r="B5" s="396" t="s">
        <v>490</v>
      </c>
      <c r="C5" s="397"/>
      <c r="D5" s="469">
        <f>SUM(D2:D4)</f>
        <v>14181933218.310001</v>
      </c>
    </row>
    <row r="6" spans="1:4" ht="31.5">
      <c r="A6" s="475"/>
      <c r="B6" s="389" t="s">
        <v>491</v>
      </c>
      <c r="C6" s="471" t="s">
        <v>492</v>
      </c>
      <c r="D6" s="385">
        <v>0</v>
      </c>
    </row>
    <row r="7" spans="1:4" ht="31.5">
      <c r="A7" s="475"/>
      <c r="B7" s="394"/>
      <c r="C7" s="471" t="s">
        <v>493</v>
      </c>
      <c r="D7" s="385">
        <v>-351175959.55</v>
      </c>
    </row>
    <row r="8" spans="1:4" ht="15.75">
      <c r="A8" s="475"/>
      <c r="B8" s="394"/>
      <c r="C8" s="471" t="s">
        <v>494</v>
      </c>
      <c r="D8" s="385">
        <v>213016193.54</v>
      </c>
    </row>
    <row r="9" spans="1:4" ht="15.75">
      <c r="A9" s="475"/>
      <c r="B9" s="601" t="s">
        <v>495</v>
      </c>
      <c r="C9" s="602"/>
      <c r="D9" s="469">
        <f>SUM(D6:D8)</f>
        <v>-138159766.01000002</v>
      </c>
    </row>
    <row r="10" spans="1:4" ht="24.75" customHeight="1">
      <c r="A10" s="476" t="s">
        <v>496</v>
      </c>
      <c r="B10" s="398"/>
      <c r="C10" s="395"/>
      <c r="D10" s="470">
        <f>D5+D9</f>
        <v>14043773452.300001</v>
      </c>
    </row>
    <row r="11" spans="1:4" ht="15.75">
      <c r="A11" s="477" t="s">
        <v>497</v>
      </c>
      <c r="B11" s="399" t="s">
        <v>498</v>
      </c>
      <c r="C11" s="389" t="s">
        <v>498</v>
      </c>
      <c r="D11" s="385">
        <v>7230621.25</v>
      </c>
    </row>
    <row r="12" spans="1:4" ht="15.75">
      <c r="A12" s="475"/>
      <c r="B12" s="396" t="s">
        <v>499</v>
      </c>
      <c r="C12" s="400"/>
      <c r="D12" s="469">
        <f>D11</f>
        <v>7230621.25</v>
      </c>
    </row>
    <row r="13" spans="1:4" ht="15.75">
      <c r="A13" s="475"/>
      <c r="B13" s="389" t="s">
        <v>500</v>
      </c>
      <c r="C13" s="471" t="s">
        <v>501</v>
      </c>
      <c r="D13" s="385">
        <v>24552462.81</v>
      </c>
    </row>
    <row r="14" spans="1:4" ht="15.75">
      <c r="A14" s="475"/>
      <c r="B14" s="401"/>
      <c r="C14" s="472" t="s">
        <v>502</v>
      </c>
      <c r="D14" s="385">
        <v>860326.39</v>
      </c>
    </row>
    <row r="15" spans="1:4" ht="15.75">
      <c r="A15" s="475"/>
      <c r="B15" s="394"/>
      <c r="C15" s="471" t="s">
        <v>503</v>
      </c>
      <c r="D15" s="385">
        <v>0</v>
      </c>
    </row>
    <row r="16" spans="1:4" ht="15.75">
      <c r="A16" s="475"/>
      <c r="B16" s="396" t="s">
        <v>504</v>
      </c>
      <c r="C16" s="397"/>
      <c r="D16" s="469">
        <f>SUM(D13:D15)</f>
        <v>25412789.2</v>
      </c>
    </row>
    <row r="17" spans="1:4" ht="15.75">
      <c r="A17" s="475"/>
      <c r="B17" s="389" t="s">
        <v>505</v>
      </c>
      <c r="C17" s="471" t="s">
        <v>506</v>
      </c>
      <c r="D17" s="385">
        <v>285943132.65</v>
      </c>
    </row>
    <row r="18" spans="1:4" ht="15.75">
      <c r="A18" s="475"/>
      <c r="B18" s="394"/>
      <c r="C18" s="471" t="s">
        <v>507</v>
      </c>
      <c r="D18" s="385">
        <v>227177858.84</v>
      </c>
    </row>
    <row r="19" spans="1:4" ht="31.5">
      <c r="A19" s="475"/>
      <c r="B19" s="394"/>
      <c r="C19" s="471" t="s">
        <v>508</v>
      </c>
      <c r="D19" s="385">
        <v>1543.61</v>
      </c>
    </row>
    <row r="20" spans="1:4" ht="31.5">
      <c r="A20" s="475"/>
      <c r="B20" s="394"/>
      <c r="C20" s="471" t="s">
        <v>509</v>
      </c>
      <c r="D20" s="385">
        <v>246764186.77</v>
      </c>
    </row>
    <row r="21" spans="1:4" ht="15.75">
      <c r="A21" s="475"/>
      <c r="B21" s="394"/>
      <c r="C21" s="471" t="s">
        <v>510</v>
      </c>
      <c r="D21" s="385">
        <v>215071613.79</v>
      </c>
    </row>
    <row r="22" spans="1:4" ht="31.5">
      <c r="A22" s="475"/>
      <c r="B22" s="394"/>
      <c r="C22" s="471" t="s">
        <v>511</v>
      </c>
      <c r="D22" s="385">
        <v>651893.14</v>
      </c>
    </row>
    <row r="23" spans="1:4" ht="15.75">
      <c r="A23" s="475"/>
      <c r="B23" s="394"/>
      <c r="C23" s="471" t="s">
        <v>512</v>
      </c>
      <c r="D23" s="385">
        <v>298708001.32</v>
      </c>
    </row>
    <row r="24" spans="1:4" ht="15.75">
      <c r="A24" s="475"/>
      <c r="B24" s="396" t="s">
        <v>513</v>
      </c>
      <c r="C24" s="397"/>
      <c r="D24" s="469">
        <f>SUM(D17:D23)</f>
        <v>1274318230.12</v>
      </c>
    </row>
    <row r="25" spans="1:4" ht="15.75">
      <c r="A25" s="475"/>
      <c r="B25" s="389" t="s">
        <v>514</v>
      </c>
      <c r="C25" s="471" t="s">
        <v>515</v>
      </c>
      <c r="D25" s="385">
        <v>21093000</v>
      </c>
    </row>
    <row r="26" spans="1:4" ht="15.75">
      <c r="A26" s="475"/>
      <c r="B26" s="394"/>
      <c r="C26" s="471" t="s">
        <v>516</v>
      </c>
      <c r="D26" s="385">
        <v>0</v>
      </c>
    </row>
    <row r="27" spans="1:4" ht="15.75">
      <c r="A27" s="475"/>
      <c r="B27" s="396" t="s">
        <v>517</v>
      </c>
      <c r="C27" s="397"/>
      <c r="D27" s="469">
        <f>SUM(D25:D26)</f>
        <v>21093000</v>
      </c>
    </row>
    <row r="28" spans="1:4" ht="22.5" customHeight="1">
      <c r="A28" s="476" t="s">
        <v>518</v>
      </c>
      <c r="B28" s="398"/>
      <c r="C28" s="395"/>
      <c r="D28" s="470">
        <f>D12+D16+D24+D27</f>
        <v>1328054640.57</v>
      </c>
    </row>
    <row r="29" spans="1:4" ht="15.75">
      <c r="A29" s="477" t="s">
        <v>477</v>
      </c>
      <c r="B29" s="389" t="s">
        <v>519</v>
      </c>
      <c r="C29" s="471" t="s">
        <v>520</v>
      </c>
      <c r="D29" s="385">
        <v>214706090.51</v>
      </c>
    </row>
    <row r="30" spans="1:4" ht="15.75">
      <c r="A30" s="475"/>
      <c r="B30" s="394"/>
      <c r="C30" s="471" t="s">
        <v>521</v>
      </c>
      <c r="D30" s="385">
        <v>55481519.12</v>
      </c>
    </row>
    <row r="31" spans="1:4" ht="15.75">
      <c r="A31" s="475"/>
      <c r="B31" s="394"/>
      <c r="C31" s="471" t="s">
        <v>522</v>
      </c>
      <c r="D31" s="385">
        <v>5720375636.56</v>
      </c>
    </row>
    <row r="32" spans="1:4" ht="15.75">
      <c r="A32" s="475"/>
      <c r="B32" s="396" t="s">
        <v>523</v>
      </c>
      <c r="C32" s="397"/>
      <c r="D32" s="469">
        <f>SUM(D29:D31)</f>
        <v>5990563246.190001</v>
      </c>
    </row>
    <row r="33" spans="1:4" ht="24.75" customHeight="1">
      <c r="A33" s="476" t="s">
        <v>483</v>
      </c>
      <c r="B33" s="398"/>
      <c r="C33" s="395"/>
      <c r="D33" s="470">
        <f>D32</f>
        <v>5990563246.190001</v>
      </c>
    </row>
    <row r="34" spans="1:4" ht="27" customHeight="1">
      <c r="A34" s="478" t="s">
        <v>524</v>
      </c>
      <c r="B34" s="479"/>
      <c r="C34" s="479"/>
      <c r="D34" s="456">
        <f>D10+D28+D33</f>
        <v>21362391339.06</v>
      </c>
    </row>
    <row r="36" spans="1:4" ht="15.75">
      <c r="A36" s="600"/>
      <c r="B36" s="600"/>
      <c r="C36" s="600"/>
      <c r="D36" s="600"/>
    </row>
  </sheetData>
  <mergeCells count="3">
    <mergeCell ref="A1:D1"/>
    <mergeCell ref="A36:D36"/>
    <mergeCell ref="B9:C9"/>
  </mergeCells>
  <printOptions horizontalCentered="1"/>
  <pageMargins left="0.37" right="0.31" top="0.49" bottom="0.5" header="0.4724409448818898" footer="0.5118110236220472"/>
  <pageSetup fitToHeight="1" fitToWidth="1" horizontalDpi="600" verticalDpi="600" orientation="portrait" paperSize="9" scale="97" r:id="rId1"/>
</worksheet>
</file>

<file path=xl/worksheets/sheet31.xml><?xml version="1.0" encoding="utf-8"?>
<worksheet xmlns="http://schemas.openxmlformats.org/spreadsheetml/2006/main" xmlns:r="http://schemas.openxmlformats.org/officeDocument/2006/relationships">
  <sheetPr>
    <tabColor indexed="11"/>
    <pageSetUpPr fitToPage="1"/>
  </sheetPr>
  <dimension ref="A1:K25"/>
  <sheetViews>
    <sheetView zoomScale="85" zoomScaleNormal="85" workbookViewId="0" topLeftCell="A1">
      <selection activeCell="D33" sqref="D33"/>
    </sheetView>
  </sheetViews>
  <sheetFormatPr defaultColWidth="9.140625" defaultRowHeight="12.75"/>
  <cols>
    <col min="1" max="1" width="18.57421875" style="0" customWidth="1"/>
    <col min="2" max="2" width="20.57421875" style="0" customWidth="1"/>
    <col min="3" max="3" width="18.421875" style="0" customWidth="1"/>
    <col min="4" max="4" width="15.8515625" style="0" customWidth="1"/>
    <col min="5" max="5" width="12.7109375" style="0" bestFit="1" customWidth="1"/>
    <col min="6" max="6" width="14.421875" style="0" bestFit="1" customWidth="1"/>
    <col min="7" max="7" width="18.57421875" style="0" customWidth="1"/>
    <col min="8" max="9" width="15.140625" style="0" customWidth="1"/>
    <col min="10" max="10" width="12.00390625" style="0" customWidth="1"/>
    <col min="11" max="11" width="14.421875" style="0" customWidth="1"/>
  </cols>
  <sheetData>
    <row r="1" spans="1:11" ht="75" customHeight="1">
      <c r="A1" s="603" t="s">
        <v>650</v>
      </c>
      <c r="B1" s="603"/>
      <c r="C1" s="603"/>
      <c r="D1" s="603"/>
      <c r="E1" s="603"/>
      <c r="F1" s="603"/>
      <c r="G1" s="603"/>
      <c r="H1" s="603"/>
      <c r="I1" s="603"/>
      <c r="J1" s="603"/>
      <c r="K1" s="603"/>
    </row>
    <row r="2" spans="1:11" ht="18.75">
      <c r="A2" s="604" t="s">
        <v>525</v>
      </c>
      <c r="B2" s="605" t="s">
        <v>526</v>
      </c>
      <c r="C2" s="605"/>
      <c r="D2" s="605"/>
      <c r="E2" s="605"/>
      <c r="F2" s="605"/>
      <c r="G2" s="605" t="s">
        <v>527</v>
      </c>
      <c r="H2" s="605"/>
      <c r="I2" s="605"/>
      <c r="J2" s="605"/>
      <c r="K2" s="605"/>
    </row>
    <row r="3" spans="1:11" ht="108" customHeight="1">
      <c r="A3" s="604"/>
      <c r="B3" s="488" t="s">
        <v>528</v>
      </c>
      <c r="C3" s="488" t="s">
        <v>529</v>
      </c>
      <c r="D3" s="488" t="s">
        <v>530</v>
      </c>
      <c r="E3" s="488" t="s">
        <v>531</v>
      </c>
      <c r="F3" s="494" t="s">
        <v>155</v>
      </c>
      <c r="G3" s="488" t="s">
        <v>528</v>
      </c>
      <c r="H3" s="488" t="s">
        <v>529</v>
      </c>
      <c r="I3" s="488" t="s">
        <v>530</v>
      </c>
      <c r="J3" s="488" t="s">
        <v>531</v>
      </c>
      <c r="K3" s="494" t="s">
        <v>155</v>
      </c>
    </row>
    <row r="4" spans="1:11" ht="0" customHeight="1" hidden="1">
      <c r="A4" s="489"/>
      <c r="B4" s="490" t="s">
        <v>532</v>
      </c>
      <c r="C4" s="490" t="s">
        <v>533</v>
      </c>
      <c r="D4" s="490" t="s">
        <v>534</v>
      </c>
      <c r="E4" s="490" t="s">
        <v>535</v>
      </c>
      <c r="F4" s="495" t="s">
        <v>536</v>
      </c>
      <c r="G4" s="490" t="s">
        <v>537</v>
      </c>
      <c r="H4" s="490" t="s">
        <v>538</v>
      </c>
      <c r="I4" s="490" t="s">
        <v>539</v>
      </c>
      <c r="J4" s="490" t="s">
        <v>540</v>
      </c>
      <c r="K4" s="495" t="s">
        <v>541</v>
      </c>
    </row>
    <row r="5" spans="1:11" ht="15.75">
      <c r="A5" s="454" t="s">
        <v>60</v>
      </c>
      <c r="B5" s="491">
        <v>286817.113</v>
      </c>
      <c r="C5" s="491">
        <v>97244.425</v>
      </c>
      <c r="D5" s="491">
        <v>4770.552</v>
      </c>
      <c r="E5" s="491">
        <v>39.289</v>
      </c>
      <c r="F5" s="496">
        <f>B5+C5+D5+E5</f>
        <v>388871.379</v>
      </c>
      <c r="G5" s="491">
        <v>369104.009</v>
      </c>
      <c r="H5" s="491">
        <v>110125.03</v>
      </c>
      <c r="I5" s="491">
        <v>9247.409</v>
      </c>
      <c r="J5" s="491">
        <v>124669.461</v>
      </c>
      <c r="K5" s="496">
        <f>G5+H5+I5+J5</f>
        <v>613145.909</v>
      </c>
    </row>
    <row r="6" spans="1:11" ht="15.75">
      <c r="A6" s="454" t="s">
        <v>78</v>
      </c>
      <c r="B6" s="491">
        <v>197759.765</v>
      </c>
      <c r="C6" s="491">
        <v>25742.99</v>
      </c>
      <c r="D6" s="491">
        <v>5438.539</v>
      </c>
      <c r="E6" s="491">
        <v>9196.763</v>
      </c>
      <c r="F6" s="496">
        <f>B6+C6+D6+E6</f>
        <v>238138.057</v>
      </c>
      <c r="G6" s="491">
        <v>277844.077</v>
      </c>
      <c r="H6" s="491">
        <v>40398.684</v>
      </c>
      <c r="I6" s="491">
        <v>8459.98</v>
      </c>
      <c r="J6" s="491">
        <v>7569.624</v>
      </c>
      <c r="K6" s="496">
        <f>G6+H6+I6+J6</f>
        <v>334272.365</v>
      </c>
    </row>
    <row r="7" spans="1:11" ht="15.75">
      <c r="A7" s="454" t="s">
        <v>80</v>
      </c>
      <c r="B7" s="491">
        <v>211984</v>
      </c>
      <c r="C7" s="491">
        <v>32463</v>
      </c>
      <c r="D7" s="491">
        <v>1242.079</v>
      </c>
      <c r="E7" s="491">
        <v>2802.52</v>
      </c>
      <c r="F7" s="496">
        <f>B7+C7+D7+E7</f>
        <v>248491.599</v>
      </c>
      <c r="G7" s="491">
        <v>254317.443</v>
      </c>
      <c r="H7" s="491">
        <v>28932.622</v>
      </c>
      <c r="I7" s="491">
        <v>29986.723</v>
      </c>
      <c r="J7" s="491">
        <v>5612.051</v>
      </c>
      <c r="K7" s="496">
        <f>G7+H7+I7+J7</f>
        <v>318848.839</v>
      </c>
    </row>
    <row r="8" spans="1:11" ht="15.75">
      <c r="A8" s="454" t="s">
        <v>87</v>
      </c>
      <c r="B8" s="491">
        <v>19475</v>
      </c>
      <c r="C8" s="491">
        <v>84</v>
      </c>
      <c r="D8" s="491">
        <v>739</v>
      </c>
      <c r="E8" s="491">
        <v>0</v>
      </c>
      <c r="F8" s="496">
        <v>20297</v>
      </c>
      <c r="G8" s="491">
        <v>56444</v>
      </c>
      <c r="H8" s="491">
        <v>0</v>
      </c>
      <c r="I8" s="491">
        <v>1950</v>
      </c>
      <c r="J8" s="491">
        <v>1200</v>
      </c>
      <c r="K8" s="496">
        <v>59594</v>
      </c>
    </row>
    <row r="9" spans="1:11" ht="15.75">
      <c r="A9" s="454" t="s">
        <v>90</v>
      </c>
      <c r="B9" s="491">
        <v>76183.069</v>
      </c>
      <c r="C9" s="491">
        <v>9886.185</v>
      </c>
      <c r="D9" s="491">
        <v>488.676</v>
      </c>
      <c r="E9" s="491">
        <v>1338.552</v>
      </c>
      <c r="F9" s="496">
        <f aca="true" t="shared" si="0" ref="F9:F24">B9+C9+D9+E9</f>
        <v>87896.482</v>
      </c>
      <c r="G9" s="491">
        <v>100540.906</v>
      </c>
      <c r="H9" s="491">
        <v>5835.898</v>
      </c>
      <c r="I9" s="491">
        <v>26.159</v>
      </c>
      <c r="J9" s="491">
        <v>835.451</v>
      </c>
      <c r="K9" s="496">
        <f aca="true" t="shared" si="1" ref="K9:K24">G9+H9+I9+J9</f>
        <v>107238.414</v>
      </c>
    </row>
    <row r="10" spans="1:11" ht="15.75">
      <c r="A10" s="454" t="s">
        <v>91</v>
      </c>
      <c r="B10" s="491">
        <v>296291.3</v>
      </c>
      <c r="C10" s="491">
        <v>31347.192</v>
      </c>
      <c r="D10" s="491">
        <v>0</v>
      </c>
      <c r="E10" s="491">
        <v>7771.274</v>
      </c>
      <c r="F10" s="496">
        <f t="shared" si="0"/>
        <v>335409.76599999995</v>
      </c>
      <c r="G10" s="491">
        <v>321021.728</v>
      </c>
      <c r="H10" s="491">
        <v>15077.537</v>
      </c>
      <c r="I10" s="491">
        <v>0</v>
      </c>
      <c r="J10" s="491">
        <v>6090.318</v>
      </c>
      <c r="K10" s="496">
        <f t="shared" si="1"/>
        <v>342189.58300000004</v>
      </c>
    </row>
    <row r="11" spans="1:11" ht="15.75">
      <c r="A11" s="454" t="s">
        <v>94</v>
      </c>
      <c r="B11" s="492">
        <v>108920.916</v>
      </c>
      <c r="C11" s="492">
        <v>12292.521</v>
      </c>
      <c r="D11" s="492">
        <v>11503.643</v>
      </c>
      <c r="E11" s="492">
        <v>19172.753</v>
      </c>
      <c r="F11" s="496">
        <f t="shared" si="0"/>
        <v>151889.833</v>
      </c>
      <c r="G11" s="491">
        <v>160452</v>
      </c>
      <c r="H11" s="491">
        <v>10992</v>
      </c>
      <c r="I11" s="491">
        <v>3811</v>
      </c>
      <c r="J11" s="491">
        <v>18670</v>
      </c>
      <c r="K11" s="496">
        <f t="shared" si="1"/>
        <v>193925</v>
      </c>
    </row>
    <row r="12" spans="1:11" ht="15.75">
      <c r="A12" s="454" t="s">
        <v>98</v>
      </c>
      <c r="B12" s="491">
        <v>167197.149</v>
      </c>
      <c r="C12" s="491">
        <v>6850.388</v>
      </c>
      <c r="D12" s="491">
        <v>964.817</v>
      </c>
      <c r="E12" s="491">
        <v>3859.12</v>
      </c>
      <c r="F12" s="496">
        <f t="shared" si="0"/>
        <v>178871.47400000002</v>
      </c>
      <c r="G12" s="491">
        <v>231361.073</v>
      </c>
      <c r="H12" s="491">
        <v>18972.816</v>
      </c>
      <c r="I12" s="491">
        <v>1300.792</v>
      </c>
      <c r="J12" s="491">
        <v>69</v>
      </c>
      <c r="K12" s="496">
        <f t="shared" si="1"/>
        <v>251703.68099999998</v>
      </c>
    </row>
    <row r="13" spans="1:11" ht="15.75">
      <c r="A13" s="454" t="s">
        <v>101</v>
      </c>
      <c r="B13" s="491">
        <v>516414.108</v>
      </c>
      <c r="C13" s="491">
        <v>90408.658</v>
      </c>
      <c r="D13" s="491">
        <v>84444.941</v>
      </c>
      <c r="E13" s="491">
        <v>15861.761</v>
      </c>
      <c r="F13" s="496">
        <f t="shared" si="0"/>
        <v>707129.4680000001</v>
      </c>
      <c r="G13" s="491">
        <v>686659.892</v>
      </c>
      <c r="H13" s="491">
        <v>149579.822</v>
      </c>
      <c r="I13" s="491">
        <v>97511.961</v>
      </c>
      <c r="J13" s="491">
        <v>38385.455</v>
      </c>
      <c r="K13" s="496">
        <f t="shared" si="1"/>
        <v>972137.1299999999</v>
      </c>
    </row>
    <row r="14" spans="1:11" ht="15.75">
      <c r="A14" s="454" t="s">
        <v>106</v>
      </c>
      <c r="B14" s="493">
        <v>273359.26</v>
      </c>
      <c r="C14" s="493">
        <v>32393.257</v>
      </c>
      <c r="D14" s="493">
        <v>53890.87</v>
      </c>
      <c r="E14" s="493">
        <v>3652.91</v>
      </c>
      <c r="F14" s="496">
        <f t="shared" si="0"/>
        <v>363296.29699999996</v>
      </c>
      <c r="G14" s="493">
        <v>373714.425</v>
      </c>
      <c r="H14" s="493">
        <v>59053.582</v>
      </c>
      <c r="I14" s="493">
        <v>36315.763</v>
      </c>
      <c r="J14" s="493">
        <v>2301.113</v>
      </c>
      <c r="K14" s="496">
        <f t="shared" si="1"/>
        <v>471384.883</v>
      </c>
    </row>
    <row r="15" spans="1:11" ht="15.75">
      <c r="A15" s="454" t="s">
        <v>111</v>
      </c>
      <c r="B15" s="491">
        <v>293138.586</v>
      </c>
      <c r="C15" s="491">
        <v>48050.323</v>
      </c>
      <c r="D15" s="491">
        <v>20157.831</v>
      </c>
      <c r="E15" s="491">
        <v>2621.76</v>
      </c>
      <c r="F15" s="496">
        <f t="shared" si="0"/>
        <v>363968.5</v>
      </c>
      <c r="G15" s="491">
        <v>355861.705</v>
      </c>
      <c r="H15" s="491">
        <v>64785.813</v>
      </c>
      <c r="I15" s="491">
        <v>24412.712</v>
      </c>
      <c r="J15" s="491">
        <v>8122.963</v>
      </c>
      <c r="K15" s="496">
        <f t="shared" si="1"/>
        <v>453183.193</v>
      </c>
    </row>
    <row r="16" spans="1:11" ht="15.75">
      <c r="A16" s="454" t="s">
        <v>115</v>
      </c>
      <c r="B16" s="491">
        <v>108263.148</v>
      </c>
      <c r="C16" s="491">
        <v>0</v>
      </c>
      <c r="D16" s="491">
        <v>0</v>
      </c>
      <c r="E16" s="491">
        <v>40.65</v>
      </c>
      <c r="F16" s="496">
        <f t="shared" si="0"/>
        <v>108303.798</v>
      </c>
      <c r="G16" s="491">
        <v>143239.909</v>
      </c>
      <c r="H16" s="491">
        <v>0</v>
      </c>
      <c r="I16" s="491">
        <v>0</v>
      </c>
      <c r="J16" s="491">
        <v>36.45</v>
      </c>
      <c r="K16" s="496">
        <f t="shared" si="1"/>
        <v>143276.35900000003</v>
      </c>
    </row>
    <row r="17" spans="1:11" ht="15.75">
      <c r="A17" s="454" t="s">
        <v>120</v>
      </c>
      <c r="B17" s="491">
        <v>195187.646</v>
      </c>
      <c r="C17" s="491">
        <v>8033.257</v>
      </c>
      <c r="D17" s="491">
        <v>25182.387</v>
      </c>
      <c r="E17" s="491">
        <v>1700.784</v>
      </c>
      <c r="F17" s="496">
        <f t="shared" si="0"/>
        <v>230104.07400000002</v>
      </c>
      <c r="G17" s="491">
        <v>266016.457</v>
      </c>
      <c r="H17" s="491">
        <v>0</v>
      </c>
      <c r="I17" s="491">
        <v>0</v>
      </c>
      <c r="J17" s="491">
        <v>37894.978</v>
      </c>
      <c r="K17" s="496">
        <f t="shared" si="1"/>
        <v>303911.435</v>
      </c>
    </row>
    <row r="18" spans="1:11" ht="15.75">
      <c r="A18" s="454" t="s">
        <v>127</v>
      </c>
      <c r="B18" s="491">
        <v>314497</v>
      </c>
      <c r="C18" s="491">
        <v>69889</v>
      </c>
      <c r="D18" s="491">
        <v>0</v>
      </c>
      <c r="E18" s="491">
        <v>728</v>
      </c>
      <c r="F18" s="496">
        <f t="shared" si="0"/>
        <v>385114</v>
      </c>
      <c r="G18" s="491">
        <v>329191</v>
      </c>
      <c r="H18" s="491">
        <v>49469</v>
      </c>
      <c r="I18" s="491">
        <v>7440</v>
      </c>
      <c r="J18" s="491">
        <v>12422</v>
      </c>
      <c r="K18" s="496">
        <f t="shared" si="1"/>
        <v>398522</v>
      </c>
    </row>
    <row r="19" spans="1:11" ht="15.75">
      <c r="A19" s="454" t="s">
        <v>133</v>
      </c>
      <c r="B19" s="491">
        <v>124849.725</v>
      </c>
      <c r="C19" s="491">
        <v>21002.226</v>
      </c>
      <c r="D19" s="491">
        <v>458.341</v>
      </c>
      <c r="E19" s="491">
        <v>340</v>
      </c>
      <c r="F19" s="496">
        <f t="shared" si="0"/>
        <v>146650.292</v>
      </c>
      <c r="G19" s="491">
        <v>149320</v>
      </c>
      <c r="H19" s="491">
        <v>24458.063</v>
      </c>
      <c r="I19" s="491">
        <v>1777.902</v>
      </c>
      <c r="J19" s="491">
        <v>897</v>
      </c>
      <c r="K19" s="496">
        <f t="shared" si="1"/>
        <v>176452.965</v>
      </c>
    </row>
    <row r="20" spans="1:11" ht="15.75">
      <c r="A20" s="454" t="s">
        <v>137</v>
      </c>
      <c r="B20" s="491">
        <v>103899.712</v>
      </c>
      <c r="C20" s="491">
        <v>3276.218</v>
      </c>
      <c r="D20" s="491">
        <v>125.275</v>
      </c>
      <c r="E20" s="491">
        <v>108.84</v>
      </c>
      <c r="F20" s="496">
        <f t="shared" si="0"/>
        <v>107410.04499999998</v>
      </c>
      <c r="G20" s="491">
        <v>109278.0909</v>
      </c>
      <c r="H20" s="491">
        <v>2888.18477</v>
      </c>
      <c r="I20" s="491">
        <v>0</v>
      </c>
      <c r="J20" s="491">
        <v>14</v>
      </c>
      <c r="K20" s="496">
        <f t="shared" si="1"/>
        <v>112180.27567</v>
      </c>
    </row>
    <row r="21" spans="1:11" ht="15.75">
      <c r="A21" s="454" t="s">
        <v>141</v>
      </c>
      <c r="B21" s="491">
        <v>24750.214</v>
      </c>
      <c r="C21" s="491">
        <v>5701.233</v>
      </c>
      <c r="D21" s="491">
        <v>103.061</v>
      </c>
      <c r="E21" s="491">
        <v>844.977</v>
      </c>
      <c r="F21" s="496">
        <f t="shared" si="0"/>
        <v>31399.485</v>
      </c>
      <c r="G21" s="491">
        <v>28026.987</v>
      </c>
      <c r="H21" s="491">
        <v>5357.229</v>
      </c>
      <c r="I21" s="491">
        <v>113.476</v>
      </c>
      <c r="J21" s="491">
        <v>0</v>
      </c>
      <c r="K21" s="496">
        <f t="shared" si="1"/>
        <v>33497.692</v>
      </c>
    </row>
    <row r="22" spans="1:11" ht="15.75">
      <c r="A22" s="454" t="s">
        <v>142</v>
      </c>
      <c r="B22" s="491">
        <v>56824.949</v>
      </c>
      <c r="C22" s="491">
        <v>1196.05725</v>
      </c>
      <c r="D22" s="491">
        <v>1121.94435</v>
      </c>
      <c r="E22" s="491">
        <v>320.805</v>
      </c>
      <c r="F22" s="496">
        <f t="shared" si="0"/>
        <v>59463.7556</v>
      </c>
      <c r="G22" s="491">
        <v>65656.4662</v>
      </c>
      <c r="H22" s="491">
        <v>939.47613</v>
      </c>
      <c r="I22" s="491">
        <v>162.666</v>
      </c>
      <c r="J22" s="491">
        <v>611.8</v>
      </c>
      <c r="K22" s="496">
        <f t="shared" si="1"/>
        <v>67370.40832999999</v>
      </c>
    </row>
    <row r="23" spans="1:11" ht="15.75">
      <c r="A23" s="454" t="s">
        <v>146</v>
      </c>
      <c r="B23" s="491">
        <v>118952.391</v>
      </c>
      <c r="C23" s="491">
        <v>22987.534</v>
      </c>
      <c r="D23" s="491">
        <v>0</v>
      </c>
      <c r="E23" s="491">
        <v>224</v>
      </c>
      <c r="F23" s="496">
        <f t="shared" si="0"/>
        <v>142163.925</v>
      </c>
      <c r="G23" s="491">
        <v>136174.374</v>
      </c>
      <c r="H23" s="491">
        <v>19640.212</v>
      </c>
      <c r="I23" s="491">
        <v>0</v>
      </c>
      <c r="J23" s="491">
        <v>0</v>
      </c>
      <c r="K23" s="496">
        <f t="shared" si="1"/>
        <v>155814.586</v>
      </c>
    </row>
    <row r="24" spans="1:11" ht="15.75">
      <c r="A24" s="454" t="s">
        <v>147</v>
      </c>
      <c r="B24" s="491">
        <f>116020.314</f>
        <v>116020.314</v>
      </c>
      <c r="C24" s="491">
        <v>0</v>
      </c>
      <c r="D24" s="491">
        <v>0</v>
      </c>
      <c r="E24" s="491">
        <v>0</v>
      </c>
      <c r="F24" s="496">
        <f t="shared" si="0"/>
        <v>116020.314</v>
      </c>
      <c r="G24" s="491">
        <v>185166.869</v>
      </c>
      <c r="H24" s="491">
        <v>14437.571</v>
      </c>
      <c r="I24" s="491">
        <v>12121.731</v>
      </c>
      <c r="J24" s="491">
        <v>1</v>
      </c>
      <c r="K24" s="496">
        <f t="shared" si="1"/>
        <v>211727.171</v>
      </c>
    </row>
    <row r="25" spans="1:11" ht="15.75">
      <c r="A25" s="455" t="s">
        <v>643</v>
      </c>
      <c r="B25" s="540">
        <f aca="true" t="shared" si="2" ref="B25:K25">SUM(B5:B24)</f>
        <v>3610785.3649999998</v>
      </c>
      <c r="C25" s="540">
        <f t="shared" si="2"/>
        <v>518848.46425</v>
      </c>
      <c r="D25" s="540">
        <f t="shared" si="2"/>
        <v>210631.95634999996</v>
      </c>
      <c r="E25" s="540">
        <f t="shared" si="2"/>
        <v>70624.75799999997</v>
      </c>
      <c r="F25" s="541">
        <f t="shared" si="2"/>
        <v>4410889.5435999995</v>
      </c>
      <c r="G25" s="540">
        <f t="shared" si="2"/>
        <v>4599391.4111</v>
      </c>
      <c r="H25" s="540">
        <f t="shared" si="2"/>
        <v>620943.5399</v>
      </c>
      <c r="I25" s="540">
        <f t="shared" si="2"/>
        <v>234638.274</v>
      </c>
      <c r="J25" s="540">
        <f t="shared" si="2"/>
        <v>265402.664</v>
      </c>
      <c r="K25" s="541">
        <f t="shared" si="2"/>
        <v>5720375.8889999995</v>
      </c>
    </row>
  </sheetData>
  <mergeCells count="4">
    <mergeCell ref="A1:K1"/>
    <mergeCell ref="A2:A3"/>
    <mergeCell ref="B2:F2"/>
    <mergeCell ref="G2:K2"/>
  </mergeCells>
  <printOptions/>
  <pageMargins left="0.75" right="0.68" top="1" bottom="1" header="0.39" footer="0.4921259845"/>
  <pageSetup fitToHeight="1" fitToWidth="1" horizontalDpi="600" verticalDpi="600" orientation="landscape" paperSize="9" scale="75" r:id="rId1"/>
</worksheet>
</file>

<file path=xl/worksheets/sheet32.xml><?xml version="1.0" encoding="utf-8"?>
<worksheet xmlns="http://schemas.openxmlformats.org/spreadsheetml/2006/main" xmlns:r="http://schemas.openxmlformats.org/officeDocument/2006/relationships">
  <sheetPr>
    <tabColor indexed="11"/>
    <pageSetUpPr fitToPage="1"/>
  </sheetPr>
  <dimension ref="A1:M35"/>
  <sheetViews>
    <sheetView workbookViewId="0" topLeftCell="A1">
      <pane ySplit="1" topLeftCell="BM16" activePane="bottomLeft" state="frozen"/>
      <selection pane="topLeft" activeCell="D45" sqref="D45"/>
      <selection pane="bottomLeft" activeCell="F34" sqref="F34"/>
    </sheetView>
  </sheetViews>
  <sheetFormatPr defaultColWidth="9.140625" defaultRowHeight="12.75"/>
  <cols>
    <col min="1" max="1" width="33.7109375" style="405" customWidth="1"/>
    <col min="2" max="2" width="18.28125" style="405" customWidth="1"/>
    <col min="3" max="3" width="10.57421875" style="407" customWidth="1"/>
    <col min="4" max="4" width="15.8515625" style="405" customWidth="1"/>
    <col min="5" max="5" width="10.140625" style="405" customWidth="1"/>
    <col min="6" max="6" width="18.57421875" style="405" customWidth="1"/>
    <col min="7" max="7" width="10.28125" style="405" customWidth="1"/>
    <col min="8" max="14" width="14.8515625" style="405" customWidth="1"/>
    <col min="15" max="16384" width="9.140625" style="405" customWidth="1"/>
  </cols>
  <sheetData>
    <row r="1" spans="1:13" ht="75" customHeight="1">
      <c r="A1" s="595" t="s">
        <v>644</v>
      </c>
      <c r="B1" s="595"/>
      <c r="C1" s="595"/>
      <c r="D1" s="595"/>
      <c r="E1" s="595"/>
      <c r="F1" s="595"/>
      <c r="G1" s="595"/>
      <c r="H1" s="404"/>
      <c r="I1" s="404"/>
      <c r="J1" s="404"/>
      <c r="K1" s="404"/>
      <c r="L1" s="404"/>
      <c r="M1" s="404"/>
    </row>
    <row r="2" spans="1:7" s="406" customFormat="1" ht="51.75" customHeight="1">
      <c r="A2" s="511" t="s">
        <v>542</v>
      </c>
      <c r="B2" s="512" t="s">
        <v>543</v>
      </c>
      <c r="C2" s="520" t="s">
        <v>646</v>
      </c>
      <c r="D2" s="513" t="s">
        <v>544</v>
      </c>
      <c r="E2" s="521" t="s">
        <v>646</v>
      </c>
      <c r="F2" s="514" t="s">
        <v>545</v>
      </c>
      <c r="G2" s="515" t="s">
        <v>646</v>
      </c>
    </row>
    <row r="3" spans="1:7" s="500" customFormat="1" ht="15">
      <c r="A3" s="497" t="s">
        <v>546</v>
      </c>
      <c r="B3" s="498">
        <v>127205917.56</v>
      </c>
      <c r="C3" s="529">
        <f>B3/$B$35</f>
        <v>0.009615748507376782</v>
      </c>
      <c r="D3" s="498">
        <v>27466874.91</v>
      </c>
      <c r="E3" s="532">
        <f>D3/$D$35</f>
        <v>0.033547653983994744</v>
      </c>
      <c r="F3" s="499">
        <f aca="true" t="shared" si="0" ref="F3:F34">B3+D3</f>
        <v>154672792.47</v>
      </c>
      <c r="G3" s="529">
        <f>F3/$F$35</f>
        <v>0.011010575952874125</v>
      </c>
    </row>
    <row r="4" spans="1:7" s="500" customFormat="1" ht="15">
      <c r="A4" s="501" t="s">
        <v>547</v>
      </c>
      <c r="B4" s="502">
        <v>768686006.17</v>
      </c>
      <c r="C4" s="529">
        <f aca="true" t="shared" si="1" ref="C4:C35">B4/$B$35</f>
        <v>0.058106505249523516</v>
      </c>
      <c r="D4" s="502">
        <v>604854922.21</v>
      </c>
      <c r="E4" s="532">
        <f aca="true" t="shared" si="2" ref="E4:E34">D4/$D$35</f>
        <v>0.7387612790790963</v>
      </c>
      <c r="F4" s="503">
        <f t="shared" si="0"/>
        <v>1373540928.38</v>
      </c>
      <c r="G4" s="529">
        <f aca="true" t="shared" si="3" ref="G4:G35">F4/$F$35</f>
        <v>0.09777722684642516</v>
      </c>
    </row>
    <row r="5" spans="1:7" s="500" customFormat="1" ht="15">
      <c r="A5" s="501" t="s">
        <v>548</v>
      </c>
      <c r="B5" s="502">
        <v>152801961.47</v>
      </c>
      <c r="C5" s="529">
        <f t="shared" si="1"/>
        <v>0.011550604414581268</v>
      </c>
      <c r="D5" s="502">
        <v>16616556.67</v>
      </c>
      <c r="E5" s="532">
        <f t="shared" si="2"/>
        <v>0.020295228175654146</v>
      </c>
      <c r="F5" s="503">
        <f t="shared" si="0"/>
        <v>169418518.14</v>
      </c>
      <c r="G5" s="529">
        <f t="shared" si="3"/>
        <v>0.012060268855401061</v>
      </c>
    </row>
    <row r="6" spans="1:7" s="500" customFormat="1" ht="30">
      <c r="A6" s="501" t="s">
        <v>549</v>
      </c>
      <c r="B6" s="502">
        <v>0</v>
      </c>
      <c r="C6" s="529">
        <f t="shared" si="1"/>
        <v>0</v>
      </c>
      <c r="D6" s="502">
        <v>-1635.8</v>
      </c>
      <c r="E6" s="532">
        <f t="shared" si="2"/>
        <v>-1.9979430702194363E-06</v>
      </c>
      <c r="F6" s="503">
        <f t="shared" si="0"/>
        <v>-1635.8</v>
      </c>
      <c r="G6" s="529">
        <f t="shared" si="3"/>
        <v>-1.1644646647990718E-07</v>
      </c>
    </row>
    <row r="7" spans="1:7" s="500" customFormat="1" ht="30">
      <c r="A7" s="501" t="s">
        <v>550</v>
      </c>
      <c r="B7" s="502">
        <v>0</v>
      </c>
      <c r="C7" s="529">
        <f t="shared" si="1"/>
        <v>0</v>
      </c>
      <c r="D7" s="502">
        <v>0</v>
      </c>
      <c r="E7" s="532">
        <f t="shared" si="2"/>
        <v>0</v>
      </c>
      <c r="F7" s="503">
        <f t="shared" si="0"/>
        <v>0</v>
      </c>
      <c r="G7" s="529">
        <f t="shared" si="3"/>
        <v>0</v>
      </c>
    </row>
    <row r="8" spans="1:7" s="500" customFormat="1" ht="15">
      <c r="A8" s="501" t="s">
        <v>551</v>
      </c>
      <c r="B8" s="502">
        <v>5699411.37</v>
      </c>
      <c r="C8" s="529">
        <f t="shared" si="1"/>
        <v>0.00043082984994117086</v>
      </c>
      <c r="D8" s="502">
        <v>-1666695.19</v>
      </c>
      <c r="E8" s="532">
        <f t="shared" si="2"/>
        <v>-0.00203567801994655</v>
      </c>
      <c r="F8" s="503">
        <f t="shared" si="0"/>
        <v>4032716.18</v>
      </c>
      <c r="G8" s="529">
        <f t="shared" si="3"/>
        <v>0.0002870739390373819</v>
      </c>
    </row>
    <row r="9" spans="1:7" s="500" customFormat="1" ht="15">
      <c r="A9" s="501" t="s">
        <v>552</v>
      </c>
      <c r="B9" s="502">
        <v>-235266.49</v>
      </c>
      <c r="C9" s="529">
        <f t="shared" si="1"/>
        <v>-1.7784262268979888E-05</v>
      </c>
      <c r="D9" s="502">
        <v>0</v>
      </c>
      <c r="E9" s="532">
        <f t="shared" si="2"/>
        <v>0</v>
      </c>
      <c r="F9" s="503">
        <f t="shared" si="0"/>
        <v>-235266.49</v>
      </c>
      <c r="G9" s="529">
        <f t="shared" si="3"/>
        <v>-1.67477389910933E-05</v>
      </c>
    </row>
    <row r="10" spans="1:7" s="500" customFormat="1" ht="15">
      <c r="A10" s="501" t="s">
        <v>553</v>
      </c>
      <c r="B10" s="502">
        <v>5895741.95</v>
      </c>
      <c r="C10" s="529">
        <f t="shared" si="1"/>
        <v>0.0004456708692726572</v>
      </c>
      <c r="D10" s="502">
        <v>321803.14</v>
      </c>
      <c r="E10" s="532">
        <f t="shared" si="2"/>
        <v>0.00039304582072249367</v>
      </c>
      <c r="F10" s="503">
        <f t="shared" si="0"/>
        <v>6217545.09</v>
      </c>
      <c r="G10" s="529">
        <f t="shared" si="3"/>
        <v>0.00044260371433549117</v>
      </c>
    </row>
    <row r="11" spans="1:7" s="500" customFormat="1" ht="30">
      <c r="A11" s="501" t="s">
        <v>554</v>
      </c>
      <c r="B11" s="502">
        <v>7137004.89</v>
      </c>
      <c r="C11" s="529">
        <f t="shared" si="1"/>
        <v>0.0005395004055985702</v>
      </c>
      <c r="D11" s="502">
        <v>7042949</v>
      </c>
      <c r="E11" s="532">
        <f t="shared" si="2"/>
        <v>0.008602158667599284</v>
      </c>
      <c r="F11" s="503">
        <f t="shared" si="0"/>
        <v>14179953.89</v>
      </c>
      <c r="G11" s="529">
        <f t="shared" si="3"/>
        <v>0.0010094177315921962</v>
      </c>
    </row>
    <row r="12" spans="1:7" s="500" customFormat="1" ht="30">
      <c r="A12" s="501" t="s">
        <v>555</v>
      </c>
      <c r="B12" s="502">
        <v>0</v>
      </c>
      <c r="C12" s="529">
        <f t="shared" si="1"/>
        <v>0</v>
      </c>
      <c r="D12" s="502">
        <v>0</v>
      </c>
      <c r="E12" s="532">
        <f t="shared" si="2"/>
        <v>0</v>
      </c>
      <c r="F12" s="503">
        <f t="shared" si="0"/>
        <v>0</v>
      </c>
      <c r="G12" s="529">
        <f t="shared" si="3"/>
        <v>0</v>
      </c>
    </row>
    <row r="13" spans="1:7" s="500" customFormat="1" ht="30">
      <c r="A13" s="501" t="s">
        <v>556</v>
      </c>
      <c r="B13" s="502">
        <v>2369837.05</v>
      </c>
      <c r="C13" s="529">
        <f t="shared" si="1"/>
        <v>0.00017914069968887452</v>
      </c>
      <c r="D13" s="502">
        <v>0</v>
      </c>
      <c r="E13" s="532">
        <f t="shared" si="2"/>
        <v>0</v>
      </c>
      <c r="F13" s="503">
        <f t="shared" si="0"/>
        <v>2369837.05</v>
      </c>
      <c r="G13" s="529">
        <f t="shared" si="3"/>
        <v>0.00016869981086053743</v>
      </c>
    </row>
    <row r="14" spans="1:7" s="500" customFormat="1" ht="30">
      <c r="A14" s="501" t="s">
        <v>557</v>
      </c>
      <c r="B14" s="502">
        <v>857953.27</v>
      </c>
      <c r="C14" s="529">
        <f t="shared" si="1"/>
        <v>6.485439540586045E-05</v>
      </c>
      <c r="D14" s="502">
        <v>2287824.12</v>
      </c>
      <c r="E14" s="532">
        <f t="shared" si="2"/>
        <v>0.0027943161428260668</v>
      </c>
      <c r="F14" s="503">
        <f t="shared" si="0"/>
        <v>3145777.39</v>
      </c>
      <c r="G14" s="529">
        <f t="shared" si="3"/>
        <v>0.00022393609328639499</v>
      </c>
    </row>
    <row r="15" spans="1:7" s="500" customFormat="1" ht="22.5" customHeight="1">
      <c r="A15" s="501" t="s">
        <v>558</v>
      </c>
      <c r="B15" s="502">
        <v>739572.9</v>
      </c>
      <c r="C15" s="529">
        <f t="shared" si="1"/>
        <v>5.5905787605493825E-05</v>
      </c>
      <c r="D15" s="502">
        <v>11015.19</v>
      </c>
      <c r="E15" s="532">
        <f t="shared" si="2"/>
        <v>1.345379785282457E-05</v>
      </c>
      <c r="F15" s="503">
        <f t="shared" si="0"/>
        <v>750588.09</v>
      </c>
      <c r="G15" s="529">
        <f t="shared" si="3"/>
        <v>5.343155083897943E-05</v>
      </c>
    </row>
    <row r="16" spans="1:7" s="500" customFormat="1" ht="30">
      <c r="A16" s="501" t="s">
        <v>559</v>
      </c>
      <c r="B16" s="502">
        <v>35692.04</v>
      </c>
      <c r="C16" s="529">
        <f t="shared" si="1"/>
        <v>2.698032347381563E-06</v>
      </c>
      <c r="D16" s="502">
        <v>0</v>
      </c>
      <c r="E16" s="532">
        <f t="shared" si="2"/>
        <v>0</v>
      </c>
      <c r="F16" s="503">
        <f t="shared" si="0"/>
        <v>35692.04</v>
      </c>
      <c r="G16" s="529">
        <f t="shared" si="3"/>
        <v>2.5407824547374413E-06</v>
      </c>
    </row>
    <row r="17" spans="1:7" s="500" customFormat="1" ht="15">
      <c r="A17" s="501" t="s">
        <v>560</v>
      </c>
      <c r="B17" s="502">
        <v>6472472.68</v>
      </c>
      <c r="C17" s="529">
        <f t="shared" si="1"/>
        <v>0.0004892670931160963</v>
      </c>
      <c r="D17" s="502">
        <v>1962647.05</v>
      </c>
      <c r="E17" s="532">
        <f t="shared" si="2"/>
        <v>0.002397149451543049</v>
      </c>
      <c r="F17" s="503">
        <f t="shared" si="0"/>
        <v>8435119.73</v>
      </c>
      <c r="G17" s="529">
        <f t="shared" si="3"/>
        <v>0.0006004645353303881</v>
      </c>
    </row>
    <row r="18" spans="1:7" s="500" customFormat="1" ht="15">
      <c r="A18" s="501" t="s">
        <v>561</v>
      </c>
      <c r="B18" s="502">
        <v>8949733.66</v>
      </c>
      <c r="C18" s="529">
        <f t="shared" si="1"/>
        <v>0.0006765281814973195</v>
      </c>
      <c r="D18" s="502">
        <v>148582.02</v>
      </c>
      <c r="E18" s="532">
        <f t="shared" si="2"/>
        <v>0.00018147598558393793</v>
      </c>
      <c r="F18" s="503">
        <f t="shared" si="0"/>
        <v>9098315.68</v>
      </c>
      <c r="G18" s="529">
        <f t="shared" si="3"/>
        <v>0.0006476749675111468</v>
      </c>
    </row>
    <row r="19" spans="1:7" s="500" customFormat="1" ht="15">
      <c r="A19" s="501" t="s">
        <v>562</v>
      </c>
      <c r="B19" s="502">
        <v>1116453416.47</v>
      </c>
      <c r="C19" s="529">
        <f t="shared" si="1"/>
        <v>0.08439493601320405</v>
      </c>
      <c r="D19" s="502">
        <v>58154461.28</v>
      </c>
      <c r="E19" s="532">
        <f t="shared" si="2"/>
        <v>0.07102903956273415</v>
      </c>
      <c r="F19" s="503">
        <f t="shared" si="0"/>
        <v>1174607877.75</v>
      </c>
      <c r="G19" s="529">
        <f t="shared" si="3"/>
        <v>0.08361592912547396</v>
      </c>
    </row>
    <row r="20" spans="1:7" s="500" customFormat="1" ht="30">
      <c r="A20" s="501" t="s">
        <v>563</v>
      </c>
      <c r="B20" s="502">
        <v>295014243.77</v>
      </c>
      <c r="C20" s="529">
        <f t="shared" si="1"/>
        <v>0.02230071390230902</v>
      </c>
      <c r="D20" s="502">
        <v>72630</v>
      </c>
      <c r="E20" s="532">
        <f t="shared" si="2"/>
        <v>8.870925858297938E-05</v>
      </c>
      <c r="F20" s="503">
        <f t="shared" si="0"/>
        <v>295086873.77</v>
      </c>
      <c r="G20" s="529">
        <f t="shared" si="3"/>
        <v>0.021006127738793803</v>
      </c>
    </row>
    <row r="21" spans="1:7" s="500" customFormat="1" ht="30">
      <c r="A21" s="501" t="s">
        <v>564</v>
      </c>
      <c r="B21" s="502">
        <v>0</v>
      </c>
      <c r="C21" s="529">
        <f t="shared" si="1"/>
        <v>0</v>
      </c>
      <c r="D21" s="502">
        <v>0</v>
      </c>
      <c r="E21" s="532">
        <f t="shared" si="2"/>
        <v>0</v>
      </c>
      <c r="F21" s="503">
        <f t="shared" si="0"/>
        <v>0</v>
      </c>
      <c r="G21" s="529">
        <f t="shared" si="3"/>
        <v>0</v>
      </c>
    </row>
    <row r="22" spans="1:7" s="500" customFormat="1" ht="30">
      <c r="A22" s="501" t="s">
        <v>565</v>
      </c>
      <c r="B22" s="502">
        <v>47000</v>
      </c>
      <c r="C22" s="529">
        <f t="shared" si="1"/>
        <v>3.5528235518881366E-06</v>
      </c>
      <c r="D22" s="502">
        <v>0</v>
      </c>
      <c r="E22" s="532">
        <f t="shared" si="2"/>
        <v>0</v>
      </c>
      <c r="F22" s="503">
        <f t="shared" si="0"/>
        <v>47000</v>
      </c>
      <c r="G22" s="529">
        <f t="shared" si="3"/>
        <v>3.345753713507542E-06</v>
      </c>
    </row>
    <row r="23" spans="1:7" s="500" customFormat="1" ht="15">
      <c r="A23" s="504" t="s">
        <v>566</v>
      </c>
      <c r="B23" s="502">
        <v>172804.43</v>
      </c>
      <c r="C23" s="529">
        <f t="shared" si="1"/>
        <v>1.3062630824991593E-05</v>
      </c>
      <c r="D23" s="502">
        <v>1260</v>
      </c>
      <c r="E23" s="532">
        <f t="shared" si="2"/>
        <v>1.5389462455535455E-06</v>
      </c>
      <c r="F23" s="503">
        <f t="shared" si="0"/>
        <v>174064.43</v>
      </c>
      <c r="G23" s="529">
        <f t="shared" si="3"/>
        <v>1.2390993894937737E-05</v>
      </c>
    </row>
    <row r="24" spans="1:7" s="500" customFormat="1" ht="30">
      <c r="A24" s="501" t="s">
        <v>567</v>
      </c>
      <c r="B24" s="502">
        <v>0</v>
      </c>
      <c r="C24" s="529">
        <f t="shared" si="1"/>
        <v>0</v>
      </c>
      <c r="D24" s="502">
        <v>0</v>
      </c>
      <c r="E24" s="532">
        <f t="shared" si="2"/>
        <v>0</v>
      </c>
      <c r="F24" s="503">
        <f t="shared" si="0"/>
        <v>0</v>
      </c>
      <c r="G24" s="529">
        <f t="shared" si="3"/>
        <v>0</v>
      </c>
    </row>
    <row r="25" spans="1:7" s="500" customFormat="1" ht="15">
      <c r="A25" s="501" t="s">
        <v>568</v>
      </c>
      <c r="B25" s="502">
        <v>0</v>
      </c>
      <c r="C25" s="529">
        <f t="shared" si="1"/>
        <v>0</v>
      </c>
      <c r="D25" s="502">
        <v>791681.55</v>
      </c>
      <c r="E25" s="532">
        <f t="shared" si="2"/>
        <v>0.0009669486897194537</v>
      </c>
      <c r="F25" s="503">
        <f t="shared" si="0"/>
        <v>791681.55</v>
      </c>
      <c r="G25" s="529">
        <f t="shared" si="3"/>
        <v>5.6356840123998026E-05</v>
      </c>
    </row>
    <row r="26" spans="1:7" s="500" customFormat="1" ht="30">
      <c r="A26" s="501" t="s">
        <v>569</v>
      </c>
      <c r="B26" s="502">
        <v>0</v>
      </c>
      <c r="C26" s="529">
        <f t="shared" si="1"/>
        <v>0</v>
      </c>
      <c r="D26" s="502">
        <v>0</v>
      </c>
      <c r="E26" s="532">
        <f t="shared" si="2"/>
        <v>0</v>
      </c>
      <c r="F26" s="503">
        <f t="shared" si="0"/>
        <v>0</v>
      </c>
      <c r="G26" s="529">
        <f t="shared" si="3"/>
        <v>0</v>
      </c>
    </row>
    <row r="27" spans="1:7" s="500" customFormat="1" ht="15">
      <c r="A27" s="501" t="s">
        <v>570</v>
      </c>
      <c r="B27" s="502">
        <v>12391920.4</v>
      </c>
      <c r="C27" s="529">
        <f t="shared" si="1"/>
        <v>0.0009367299287285758</v>
      </c>
      <c r="D27" s="502">
        <v>97302261.31</v>
      </c>
      <c r="E27" s="532">
        <f t="shared" si="2"/>
        <v>0.11884361089436073</v>
      </c>
      <c r="F27" s="503">
        <f t="shared" si="0"/>
        <v>109694181.71000001</v>
      </c>
      <c r="G27" s="529">
        <f t="shared" si="3"/>
        <v>0.007808717357583057</v>
      </c>
    </row>
    <row r="28" spans="1:7" s="500" customFormat="1" ht="30">
      <c r="A28" s="501" t="s">
        <v>571</v>
      </c>
      <c r="B28" s="502">
        <v>328.5</v>
      </c>
      <c r="C28" s="529">
        <f t="shared" si="1"/>
        <v>2.4831968867984102E-08</v>
      </c>
      <c r="D28" s="502">
        <v>1552201.62</v>
      </c>
      <c r="E28" s="532">
        <f t="shared" si="2"/>
        <v>0.0018958371868580408</v>
      </c>
      <c r="F28" s="503">
        <f t="shared" si="0"/>
        <v>1552530.12</v>
      </c>
      <c r="G28" s="529">
        <f t="shared" si="3"/>
        <v>0.00011051879604941087</v>
      </c>
    </row>
    <row r="29" spans="1:7" s="500" customFormat="1" ht="30">
      <c r="A29" s="501" t="s">
        <v>572</v>
      </c>
      <c r="B29" s="502">
        <v>0</v>
      </c>
      <c r="C29" s="529">
        <f t="shared" si="1"/>
        <v>0</v>
      </c>
      <c r="D29" s="502">
        <v>0</v>
      </c>
      <c r="E29" s="532">
        <f t="shared" si="2"/>
        <v>0</v>
      </c>
      <c r="F29" s="503">
        <f t="shared" si="0"/>
        <v>0</v>
      </c>
      <c r="G29" s="529">
        <f t="shared" si="3"/>
        <v>0</v>
      </c>
    </row>
    <row r="30" spans="1:7" s="500" customFormat="1" ht="30">
      <c r="A30" s="501" t="s">
        <v>573</v>
      </c>
      <c r="B30" s="502">
        <v>2370095.49</v>
      </c>
      <c r="C30" s="529">
        <f t="shared" si="1"/>
        <v>0.0001791602356828905</v>
      </c>
      <c r="D30" s="502">
        <v>0</v>
      </c>
      <c r="E30" s="532">
        <f t="shared" si="2"/>
        <v>0</v>
      </c>
      <c r="F30" s="503">
        <f t="shared" si="0"/>
        <v>2370095.49</v>
      </c>
      <c r="G30" s="529">
        <f t="shared" si="3"/>
        <v>0.00016871820823478677</v>
      </c>
    </row>
    <row r="31" spans="1:7" s="500" customFormat="1" ht="30">
      <c r="A31" s="501" t="s">
        <v>574</v>
      </c>
      <c r="B31" s="502">
        <v>0</v>
      </c>
      <c r="C31" s="529">
        <f t="shared" si="1"/>
        <v>0</v>
      </c>
      <c r="D31" s="502">
        <v>0</v>
      </c>
      <c r="E31" s="532">
        <f t="shared" si="2"/>
        <v>0</v>
      </c>
      <c r="F31" s="503">
        <f t="shared" si="0"/>
        <v>0</v>
      </c>
      <c r="G31" s="529">
        <f t="shared" si="3"/>
        <v>0</v>
      </c>
    </row>
    <row r="32" spans="1:7" s="500" customFormat="1" ht="15">
      <c r="A32" s="501" t="s">
        <v>575</v>
      </c>
      <c r="B32" s="502">
        <v>0</v>
      </c>
      <c r="C32" s="529">
        <f t="shared" si="1"/>
        <v>0</v>
      </c>
      <c r="D32" s="502">
        <v>0</v>
      </c>
      <c r="E32" s="532">
        <f t="shared" si="2"/>
        <v>0</v>
      </c>
      <c r="F32" s="503">
        <f t="shared" si="0"/>
        <v>0</v>
      </c>
      <c r="G32" s="529">
        <f t="shared" si="3"/>
        <v>0</v>
      </c>
    </row>
    <row r="33" spans="1:7" s="500" customFormat="1" ht="30">
      <c r="A33" s="501" t="s">
        <v>576</v>
      </c>
      <c r="B33" s="502">
        <v>0</v>
      </c>
      <c r="C33" s="529">
        <f t="shared" si="1"/>
        <v>0</v>
      </c>
      <c r="D33" s="502">
        <v>0</v>
      </c>
      <c r="E33" s="532">
        <f t="shared" si="2"/>
        <v>0</v>
      </c>
      <c r="F33" s="503">
        <f t="shared" si="0"/>
        <v>0</v>
      </c>
      <c r="G33" s="529">
        <f t="shared" si="3"/>
        <v>0</v>
      </c>
    </row>
    <row r="34" spans="1:7" s="500" customFormat="1" ht="15">
      <c r="A34" s="505" t="s">
        <v>577</v>
      </c>
      <c r="B34" s="506">
        <v>10715848933.46</v>
      </c>
      <c r="C34" s="530">
        <f t="shared" si="1"/>
        <v>0.8100323504100437</v>
      </c>
      <c r="D34" s="506">
        <v>1822708.37</v>
      </c>
      <c r="E34" s="533">
        <f t="shared" si="2"/>
        <v>0.002226230319643272</v>
      </c>
      <c r="F34" s="507">
        <f t="shared" si="0"/>
        <v>10717671641.83</v>
      </c>
      <c r="G34" s="530">
        <f t="shared" si="3"/>
        <v>0.7629508445916425</v>
      </c>
    </row>
    <row r="35" spans="1:7" ht="15.75">
      <c r="A35" s="508" t="s">
        <v>545</v>
      </c>
      <c r="B35" s="509">
        <f>SUM(B3:B34)</f>
        <v>13228914781.039999</v>
      </c>
      <c r="C35" s="531">
        <f t="shared" si="1"/>
        <v>1</v>
      </c>
      <c r="D35" s="509">
        <f>SUM(D3:D34)</f>
        <v>818742047.4499998</v>
      </c>
      <c r="E35" s="542">
        <f>SUM(E3:E34)</f>
        <v>1.0000000000000002</v>
      </c>
      <c r="F35" s="509">
        <f>SUM(F3:F34)</f>
        <v>14047656828.49</v>
      </c>
      <c r="G35" s="531">
        <f t="shared" si="3"/>
        <v>1</v>
      </c>
    </row>
  </sheetData>
  <mergeCells count="1">
    <mergeCell ref="A1:G1"/>
  </mergeCells>
  <printOptions horizontalCentered="1"/>
  <pageMargins left="0.3937007874015748" right="0.4724409448818898" top="0.31496062992125984" bottom="0.5118110236220472" header="0.5118110236220472" footer="0.5118110236220472"/>
  <pageSetup fitToHeight="1" fitToWidth="1" horizontalDpi="600" verticalDpi="600" orientation="portrait" paperSize="9" scale="82" r:id="rId1"/>
</worksheet>
</file>

<file path=xl/worksheets/sheet33.xml><?xml version="1.0" encoding="utf-8"?>
<worksheet xmlns="http://schemas.openxmlformats.org/spreadsheetml/2006/main" xmlns:r="http://schemas.openxmlformats.org/officeDocument/2006/relationships">
  <sheetPr>
    <tabColor indexed="11"/>
    <pageSetUpPr fitToPage="1"/>
  </sheetPr>
  <dimension ref="A1:M36"/>
  <sheetViews>
    <sheetView zoomScale="75" zoomScaleNormal="75" workbookViewId="0" topLeftCell="A1">
      <selection activeCell="I35" sqref="I35"/>
    </sheetView>
  </sheetViews>
  <sheetFormatPr defaultColWidth="9.140625" defaultRowHeight="12.75"/>
  <cols>
    <col min="1" max="1" width="47.421875" style="409" customWidth="1"/>
    <col min="2" max="2" width="19.421875" style="409" bestFit="1" customWidth="1"/>
    <col min="3" max="3" width="16.57421875" style="409" customWidth="1"/>
    <col min="4" max="5" width="19.421875" style="409" bestFit="1" customWidth="1"/>
    <col min="6" max="6" width="17.140625" style="409" customWidth="1"/>
    <col min="7" max="7" width="19.7109375" style="409" customWidth="1"/>
    <col min="8" max="8" width="18.28125" style="409" customWidth="1"/>
    <col min="9" max="9" width="17.00390625" style="409" customWidth="1"/>
    <col min="10" max="10" width="18.00390625" style="409" customWidth="1"/>
    <col min="11" max="14" width="14.8515625" style="409" customWidth="1"/>
    <col min="15" max="16384" width="9.140625" style="409" customWidth="1"/>
  </cols>
  <sheetData>
    <row r="1" spans="1:13" ht="75" customHeight="1">
      <c r="A1" s="606" t="s">
        <v>645</v>
      </c>
      <c r="B1" s="606"/>
      <c r="C1" s="606"/>
      <c r="D1" s="606"/>
      <c r="E1" s="606"/>
      <c r="F1" s="606"/>
      <c r="G1" s="606"/>
      <c r="H1" s="606"/>
      <c r="I1" s="606"/>
      <c r="J1" s="606"/>
      <c r="K1" s="408"/>
      <c r="L1" s="408"/>
      <c r="M1" s="408"/>
    </row>
    <row r="2" spans="1:13" ht="35.25" customHeight="1">
      <c r="A2" s="608" t="s">
        <v>542</v>
      </c>
      <c r="B2" s="607" t="s">
        <v>578</v>
      </c>
      <c r="C2" s="607"/>
      <c r="D2" s="607"/>
      <c r="E2" s="607" t="s">
        <v>579</v>
      </c>
      <c r="F2" s="607"/>
      <c r="G2" s="607"/>
      <c r="H2" s="607" t="s">
        <v>580</v>
      </c>
      <c r="I2" s="607"/>
      <c r="J2" s="607"/>
      <c r="K2" s="408"/>
      <c r="L2" s="408"/>
      <c r="M2" s="408"/>
    </row>
    <row r="3" spans="1:10" s="410" customFormat="1" ht="51.75" customHeight="1">
      <c r="A3" s="608"/>
      <c r="B3" s="414" t="s">
        <v>543</v>
      </c>
      <c r="C3" s="415" t="s">
        <v>544</v>
      </c>
      <c r="D3" s="416" t="s">
        <v>545</v>
      </c>
      <c r="E3" s="414" t="s">
        <v>543</v>
      </c>
      <c r="F3" s="415" t="s">
        <v>544</v>
      </c>
      <c r="G3" s="416" t="s">
        <v>545</v>
      </c>
      <c r="H3" s="414" t="s">
        <v>543</v>
      </c>
      <c r="I3" s="415" t="s">
        <v>544</v>
      </c>
      <c r="J3" s="416" t="s">
        <v>545</v>
      </c>
    </row>
    <row r="4" spans="1:10" ht="15.75">
      <c r="A4" s="417" t="s">
        <v>546</v>
      </c>
      <c r="B4" s="418">
        <v>143963131</v>
      </c>
      <c r="C4" s="411">
        <v>39567729.22</v>
      </c>
      <c r="D4" s="419">
        <f aca="true" t="shared" si="0" ref="D4:D35">B4+C4</f>
        <v>183530860.22</v>
      </c>
      <c r="E4" s="418">
        <v>127205917.56</v>
      </c>
      <c r="F4" s="411">
        <v>27466874.91</v>
      </c>
      <c r="G4" s="419">
        <f aca="true" t="shared" si="1" ref="G4:G35">E4+F4</f>
        <v>154672792.47</v>
      </c>
      <c r="H4" s="418">
        <f aca="true" t="shared" si="2" ref="H4:H35">E4-B4</f>
        <v>-16757213.439999998</v>
      </c>
      <c r="I4" s="411">
        <f aca="true" t="shared" si="3" ref="I4:I35">F4-C4</f>
        <v>-12100854.309999999</v>
      </c>
      <c r="J4" s="419">
        <f aca="true" t="shared" si="4" ref="J4:J35">H4+I4</f>
        <v>-28858067.749999996</v>
      </c>
    </row>
    <row r="5" spans="1:10" ht="15.75">
      <c r="A5" s="417" t="s">
        <v>547</v>
      </c>
      <c r="B5" s="418">
        <v>665623883.6</v>
      </c>
      <c r="C5" s="411">
        <v>564939348.57</v>
      </c>
      <c r="D5" s="419">
        <f t="shared" si="0"/>
        <v>1230563232.17</v>
      </c>
      <c r="E5" s="418">
        <v>768686006.17</v>
      </c>
      <c r="F5" s="411">
        <v>604854922.21</v>
      </c>
      <c r="G5" s="419">
        <f t="shared" si="1"/>
        <v>1373540928.38</v>
      </c>
      <c r="H5" s="418">
        <f t="shared" si="2"/>
        <v>103062122.56999993</v>
      </c>
      <c r="I5" s="411">
        <f t="shared" si="3"/>
        <v>39915573.639999986</v>
      </c>
      <c r="J5" s="419">
        <f t="shared" si="4"/>
        <v>142977696.20999992</v>
      </c>
    </row>
    <row r="6" spans="1:10" ht="15.75">
      <c r="A6" s="417" t="s">
        <v>548</v>
      </c>
      <c r="B6" s="418">
        <v>148134964.78</v>
      </c>
      <c r="C6" s="411">
        <v>11633674.12</v>
      </c>
      <c r="D6" s="419">
        <f t="shared" si="0"/>
        <v>159768638.9</v>
      </c>
      <c r="E6" s="418">
        <v>152801961.47</v>
      </c>
      <c r="F6" s="411">
        <v>16616556.67</v>
      </c>
      <c r="G6" s="419">
        <f t="shared" si="1"/>
        <v>169418518.14</v>
      </c>
      <c r="H6" s="418">
        <f t="shared" si="2"/>
        <v>4666996.689999998</v>
      </c>
      <c r="I6" s="411">
        <f t="shared" si="3"/>
        <v>4982882.550000001</v>
      </c>
      <c r="J6" s="419">
        <f t="shared" si="4"/>
        <v>9649879.239999998</v>
      </c>
    </row>
    <row r="7" spans="1:10" ht="15.75">
      <c r="A7" s="417" t="s">
        <v>549</v>
      </c>
      <c r="B7" s="418">
        <v>0</v>
      </c>
      <c r="C7" s="411">
        <v>2349.5</v>
      </c>
      <c r="D7" s="419">
        <f t="shared" si="0"/>
        <v>2349.5</v>
      </c>
      <c r="E7" s="418">
        <v>0</v>
      </c>
      <c r="F7" s="411">
        <v>-1635.8</v>
      </c>
      <c r="G7" s="419">
        <f t="shared" si="1"/>
        <v>-1635.8</v>
      </c>
      <c r="H7" s="418">
        <f t="shared" si="2"/>
        <v>0</v>
      </c>
      <c r="I7" s="411">
        <f t="shared" si="3"/>
        <v>-3985.3</v>
      </c>
      <c r="J7" s="419">
        <f t="shared" si="4"/>
        <v>-3985.3</v>
      </c>
    </row>
    <row r="8" spans="1:10" ht="15.75">
      <c r="A8" s="417" t="s">
        <v>550</v>
      </c>
      <c r="B8" s="418">
        <v>0</v>
      </c>
      <c r="C8" s="411">
        <v>0</v>
      </c>
      <c r="D8" s="419">
        <f t="shared" si="0"/>
        <v>0</v>
      </c>
      <c r="E8" s="418">
        <v>0</v>
      </c>
      <c r="F8" s="411">
        <v>0</v>
      </c>
      <c r="G8" s="419">
        <f t="shared" si="1"/>
        <v>0</v>
      </c>
      <c r="H8" s="418">
        <f t="shared" si="2"/>
        <v>0</v>
      </c>
      <c r="I8" s="411">
        <f t="shared" si="3"/>
        <v>0</v>
      </c>
      <c r="J8" s="419">
        <f t="shared" si="4"/>
        <v>0</v>
      </c>
    </row>
    <row r="9" spans="1:10" ht="15.75">
      <c r="A9" s="417" t="s">
        <v>551</v>
      </c>
      <c r="B9" s="418">
        <v>11516476.49</v>
      </c>
      <c r="C9" s="411">
        <v>2172092.23</v>
      </c>
      <c r="D9" s="419">
        <f t="shared" si="0"/>
        <v>13688568.72</v>
      </c>
      <c r="E9" s="418">
        <v>5699411.37</v>
      </c>
      <c r="F9" s="411">
        <v>-1666695.19</v>
      </c>
      <c r="G9" s="419">
        <f t="shared" si="1"/>
        <v>4032716.18</v>
      </c>
      <c r="H9" s="418">
        <f t="shared" si="2"/>
        <v>-5817065.12</v>
      </c>
      <c r="I9" s="411">
        <f t="shared" si="3"/>
        <v>-3838787.42</v>
      </c>
      <c r="J9" s="419">
        <f t="shared" si="4"/>
        <v>-9655852.54</v>
      </c>
    </row>
    <row r="10" spans="1:10" ht="15.75">
      <c r="A10" s="417" t="s">
        <v>552</v>
      </c>
      <c r="B10" s="418">
        <v>-706839.07</v>
      </c>
      <c r="C10" s="411">
        <v>0</v>
      </c>
      <c r="D10" s="419">
        <f t="shared" si="0"/>
        <v>-706839.07</v>
      </c>
      <c r="E10" s="418">
        <v>-235266.49</v>
      </c>
      <c r="F10" s="411">
        <v>0</v>
      </c>
      <c r="G10" s="419">
        <f t="shared" si="1"/>
        <v>-235266.49</v>
      </c>
      <c r="H10" s="418">
        <f t="shared" si="2"/>
        <v>471572.57999999996</v>
      </c>
      <c r="I10" s="411">
        <f t="shared" si="3"/>
        <v>0</v>
      </c>
      <c r="J10" s="419">
        <f t="shared" si="4"/>
        <v>471572.57999999996</v>
      </c>
    </row>
    <row r="11" spans="1:10" ht="15.75">
      <c r="A11" s="417" t="s">
        <v>553</v>
      </c>
      <c r="B11" s="418">
        <v>7103766.16</v>
      </c>
      <c r="C11" s="411">
        <v>566164</v>
      </c>
      <c r="D11" s="419">
        <f t="shared" si="0"/>
        <v>7669930.16</v>
      </c>
      <c r="E11" s="418">
        <v>5895741.95</v>
      </c>
      <c r="F11" s="411">
        <v>321803.14</v>
      </c>
      <c r="G11" s="419">
        <f t="shared" si="1"/>
        <v>6217545.09</v>
      </c>
      <c r="H11" s="418">
        <f t="shared" si="2"/>
        <v>-1208024.21</v>
      </c>
      <c r="I11" s="411">
        <f t="shared" si="3"/>
        <v>-244360.86</v>
      </c>
      <c r="J11" s="419">
        <f t="shared" si="4"/>
        <v>-1452385.0699999998</v>
      </c>
    </row>
    <row r="12" spans="1:10" ht="15.75">
      <c r="A12" s="417" t="s">
        <v>554</v>
      </c>
      <c r="B12" s="418">
        <v>15438112.05</v>
      </c>
      <c r="C12" s="411">
        <v>8258217.85</v>
      </c>
      <c r="D12" s="419">
        <f t="shared" si="0"/>
        <v>23696329.9</v>
      </c>
      <c r="E12" s="418">
        <v>7137004.89</v>
      </c>
      <c r="F12" s="411">
        <v>7042949</v>
      </c>
      <c r="G12" s="419">
        <f t="shared" si="1"/>
        <v>14179953.89</v>
      </c>
      <c r="H12" s="418">
        <f t="shared" si="2"/>
        <v>-8301107.160000001</v>
      </c>
      <c r="I12" s="411">
        <f t="shared" si="3"/>
        <v>-1215268.8499999996</v>
      </c>
      <c r="J12" s="419">
        <f t="shared" si="4"/>
        <v>-9516376.010000002</v>
      </c>
    </row>
    <row r="13" spans="1:10" ht="15.75">
      <c r="A13" s="417" t="s">
        <v>555</v>
      </c>
      <c r="B13" s="418">
        <v>0</v>
      </c>
      <c r="C13" s="411">
        <v>0</v>
      </c>
      <c r="D13" s="419">
        <f t="shared" si="0"/>
        <v>0</v>
      </c>
      <c r="E13" s="418">
        <v>0</v>
      </c>
      <c r="F13" s="411">
        <v>0</v>
      </c>
      <c r="G13" s="419">
        <f t="shared" si="1"/>
        <v>0</v>
      </c>
      <c r="H13" s="418">
        <f t="shared" si="2"/>
        <v>0</v>
      </c>
      <c r="I13" s="411">
        <f t="shared" si="3"/>
        <v>0</v>
      </c>
      <c r="J13" s="419">
        <f t="shared" si="4"/>
        <v>0</v>
      </c>
    </row>
    <row r="14" spans="1:10" ht="15.75">
      <c r="A14" s="417" t="s">
        <v>556</v>
      </c>
      <c r="B14" s="418">
        <v>556310</v>
      </c>
      <c r="C14" s="411">
        <v>0</v>
      </c>
      <c r="D14" s="419">
        <f t="shared" si="0"/>
        <v>556310</v>
      </c>
      <c r="E14" s="418">
        <v>2369837.05</v>
      </c>
      <c r="F14" s="411">
        <v>0</v>
      </c>
      <c r="G14" s="419">
        <f t="shared" si="1"/>
        <v>2369837.05</v>
      </c>
      <c r="H14" s="418">
        <f t="shared" si="2"/>
        <v>1813527.0499999998</v>
      </c>
      <c r="I14" s="411">
        <f t="shared" si="3"/>
        <v>0</v>
      </c>
      <c r="J14" s="419">
        <f t="shared" si="4"/>
        <v>1813527.0499999998</v>
      </c>
    </row>
    <row r="15" spans="1:10" ht="15.75">
      <c r="A15" s="417" t="s">
        <v>557</v>
      </c>
      <c r="B15" s="418">
        <v>1307359</v>
      </c>
      <c r="C15" s="411">
        <v>2861302.9</v>
      </c>
      <c r="D15" s="419">
        <f t="shared" si="0"/>
        <v>4168661.9</v>
      </c>
      <c r="E15" s="418">
        <v>857953.27</v>
      </c>
      <c r="F15" s="411">
        <v>2287824.12</v>
      </c>
      <c r="G15" s="419">
        <f t="shared" si="1"/>
        <v>3145777.39</v>
      </c>
      <c r="H15" s="418">
        <f t="shared" si="2"/>
        <v>-449405.73</v>
      </c>
      <c r="I15" s="411">
        <f t="shared" si="3"/>
        <v>-573478.7799999998</v>
      </c>
      <c r="J15" s="419">
        <f t="shared" si="4"/>
        <v>-1022884.5099999998</v>
      </c>
    </row>
    <row r="16" spans="1:10" ht="15.75">
      <c r="A16" s="417" t="s">
        <v>558</v>
      </c>
      <c r="B16" s="418">
        <v>238575.9</v>
      </c>
      <c r="C16" s="411">
        <v>12504.9</v>
      </c>
      <c r="D16" s="419">
        <f t="shared" si="0"/>
        <v>251080.8</v>
      </c>
      <c r="E16" s="418">
        <v>739572.9</v>
      </c>
      <c r="F16" s="411">
        <v>11015.19</v>
      </c>
      <c r="G16" s="419">
        <f t="shared" si="1"/>
        <v>750588.09</v>
      </c>
      <c r="H16" s="418">
        <f t="shared" si="2"/>
        <v>500997</v>
      </c>
      <c r="I16" s="411">
        <f t="shared" si="3"/>
        <v>-1489.7099999999991</v>
      </c>
      <c r="J16" s="419">
        <f t="shared" si="4"/>
        <v>499507.29</v>
      </c>
    </row>
    <row r="17" spans="1:10" ht="15.75">
      <c r="A17" s="417" t="s">
        <v>559</v>
      </c>
      <c r="B17" s="418">
        <v>77678.94</v>
      </c>
      <c r="C17" s="411">
        <v>7729</v>
      </c>
      <c r="D17" s="419">
        <f t="shared" si="0"/>
        <v>85407.94</v>
      </c>
      <c r="E17" s="418">
        <v>35692.04</v>
      </c>
      <c r="F17" s="411">
        <v>0</v>
      </c>
      <c r="G17" s="419">
        <f t="shared" si="1"/>
        <v>35692.04</v>
      </c>
      <c r="H17" s="418">
        <f t="shared" si="2"/>
        <v>-41986.9</v>
      </c>
      <c r="I17" s="411">
        <f t="shared" si="3"/>
        <v>-7729</v>
      </c>
      <c r="J17" s="419">
        <f t="shared" si="4"/>
        <v>-49715.9</v>
      </c>
    </row>
    <row r="18" spans="1:10" ht="15.75">
      <c r="A18" s="417" t="s">
        <v>560</v>
      </c>
      <c r="B18" s="418">
        <v>3929469.86</v>
      </c>
      <c r="C18" s="411">
        <v>1106809.52</v>
      </c>
      <c r="D18" s="419">
        <f t="shared" si="0"/>
        <v>5036279.38</v>
      </c>
      <c r="E18" s="418">
        <v>6472472.68</v>
      </c>
      <c r="F18" s="411">
        <v>1962647.05</v>
      </c>
      <c r="G18" s="419">
        <f t="shared" si="1"/>
        <v>8435119.73</v>
      </c>
      <c r="H18" s="418">
        <f t="shared" si="2"/>
        <v>2543002.82</v>
      </c>
      <c r="I18" s="411">
        <f t="shared" si="3"/>
        <v>855837.53</v>
      </c>
      <c r="J18" s="419">
        <f t="shared" si="4"/>
        <v>3398840.3499999996</v>
      </c>
    </row>
    <row r="19" spans="1:10" ht="15.75">
      <c r="A19" s="417" t="s">
        <v>561</v>
      </c>
      <c r="B19" s="418">
        <v>6800007.28</v>
      </c>
      <c r="C19" s="411">
        <v>120547.41</v>
      </c>
      <c r="D19" s="419">
        <f t="shared" si="0"/>
        <v>6920554.69</v>
      </c>
      <c r="E19" s="418">
        <v>8949733.66</v>
      </c>
      <c r="F19" s="411">
        <v>148582.02</v>
      </c>
      <c r="G19" s="419">
        <f t="shared" si="1"/>
        <v>9098315.68</v>
      </c>
      <c r="H19" s="418">
        <f t="shared" si="2"/>
        <v>2149726.38</v>
      </c>
      <c r="I19" s="411">
        <f t="shared" si="3"/>
        <v>28034.609999999986</v>
      </c>
      <c r="J19" s="419">
        <f t="shared" si="4"/>
        <v>2177760.9899999998</v>
      </c>
    </row>
    <row r="20" spans="1:10" ht="15.75">
      <c r="A20" s="417" t="s">
        <v>562</v>
      </c>
      <c r="B20" s="418">
        <v>891369562.71</v>
      </c>
      <c r="C20" s="411">
        <v>72484433.65</v>
      </c>
      <c r="D20" s="419">
        <f t="shared" si="0"/>
        <v>963853996.36</v>
      </c>
      <c r="E20" s="418">
        <v>1116453416.47</v>
      </c>
      <c r="F20" s="411">
        <v>58154461.28</v>
      </c>
      <c r="G20" s="419">
        <f t="shared" si="1"/>
        <v>1174607877.75</v>
      </c>
      <c r="H20" s="418">
        <f t="shared" si="2"/>
        <v>225083853.76</v>
      </c>
      <c r="I20" s="411">
        <f t="shared" si="3"/>
        <v>-14329972.370000005</v>
      </c>
      <c r="J20" s="419">
        <f t="shared" si="4"/>
        <v>210753881.39</v>
      </c>
    </row>
    <row r="21" spans="1:10" ht="31.5">
      <c r="A21" s="417" t="s">
        <v>563</v>
      </c>
      <c r="B21" s="418">
        <v>180408276.9</v>
      </c>
      <c r="C21" s="411">
        <v>504623</v>
      </c>
      <c r="D21" s="419">
        <f t="shared" si="0"/>
        <v>180912899.9</v>
      </c>
      <c r="E21" s="418">
        <v>295014243.77</v>
      </c>
      <c r="F21" s="411">
        <v>72630</v>
      </c>
      <c r="G21" s="419">
        <f t="shared" si="1"/>
        <v>295086873.77</v>
      </c>
      <c r="H21" s="418">
        <f t="shared" si="2"/>
        <v>114605966.86999997</v>
      </c>
      <c r="I21" s="411">
        <f t="shared" si="3"/>
        <v>-431993</v>
      </c>
      <c r="J21" s="419">
        <f t="shared" si="4"/>
        <v>114173973.86999997</v>
      </c>
    </row>
    <row r="22" spans="1:10" ht="15.75">
      <c r="A22" s="417" t="s">
        <v>564</v>
      </c>
      <c r="B22" s="418">
        <v>7122964</v>
      </c>
      <c r="C22" s="411">
        <v>0</v>
      </c>
      <c r="D22" s="419">
        <f t="shared" si="0"/>
        <v>7122964</v>
      </c>
      <c r="E22" s="418">
        <v>0</v>
      </c>
      <c r="F22" s="411">
        <v>0</v>
      </c>
      <c r="G22" s="419">
        <f t="shared" si="1"/>
        <v>0</v>
      </c>
      <c r="H22" s="418">
        <f t="shared" si="2"/>
        <v>-7122964</v>
      </c>
      <c r="I22" s="411">
        <f t="shared" si="3"/>
        <v>0</v>
      </c>
      <c r="J22" s="419">
        <f t="shared" si="4"/>
        <v>-7122964</v>
      </c>
    </row>
    <row r="23" spans="1:10" ht="31.5">
      <c r="A23" s="417" t="s">
        <v>565</v>
      </c>
      <c r="B23" s="418">
        <v>500000</v>
      </c>
      <c r="C23" s="411">
        <v>0</v>
      </c>
      <c r="D23" s="419">
        <f t="shared" si="0"/>
        <v>500000</v>
      </c>
      <c r="E23" s="418">
        <v>47000</v>
      </c>
      <c r="F23" s="411">
        <v>0</v>
      </c>
      <c r="G23" s="419">
        <f t="shared" si="1"/>
        <v>47000</v>
      </c>
      <c r="H23" s="418">
        <f t="shared" si="2"/>
        <v>-453000</v>
      </c>
      <c r="I23" s="411">
        <f t="shared" si="3"/>
        <v>0</v>
      </c>
      <c r="J23" s="419">
        <f t="shared" si="4"/>
        <v>-453000</v>
      </c>
    </row>
    <row r="24" spans="1:10" ht="15.75">
      <c r="A24" s="417" t="s">
        <v>566</v>
      </c>
      <c r="B24" s="418">
        <v>71975.06</v>
      </c>
      <c r="C24" s="411">
        <v>63238.57</v>
      </c>
      <c r="D24" s="419">
        <f t="shared" si="0"/>
        <v>135213.63</v>
      </c>
      <c r="E24" s="418">
        <v>172804.43</v>
      </c>
      <c r="F24" s="411">
        <v>1260</v>
      </c>
      <c r="G24" s="419">
        <f t="shared" si="1"/>
        <v>174064.43</v>
      </c>
      <c r="H24" s="418">
        <f t="shared" si="2"/>
        <v>100829.37</v>
      </c>
      <c r="I24" s="411">
        <f t="shared" si="3"/>
        <v>-61978.57</v>
      </c>
      <c r="J24" s="419">
        <f t="shared" si="4"/>
        <v>38850.799999999996</v>
      </c>
    </row>
    <row r="25" spans="1:10" ht="15.75">
      <c r="A25" s="417" t="s">
        <v>567</v>
      </c>
      <c r="B25" s="418">
        <v>0</v>
      </c>
      <c r="C25" s="411">
        <v>0</v>
      </c>
      <c r="D25" s="419">
        <f t="shared" si="0"/>
        <v>0</v>
      </c>
      <c r="E25" s="418">
        <v>0</v>
      </c>
      <c r="F25" s="411">
        <v>0</v>
      </c>
      <c r="G25" s="419">
        <f t="shared" si="1"/>
        <v>0</v>
      </c>
      <c r="H25" s="418">
        <f t="shared" si="2"/>
        <v>0</v>
      </c>
      <c r="I25" s="411">
        <f t="shared" si="3"/>
        <v>0</v>
      </c>
      <c r="J25" s="419">
        <f t="shared" si="4"/>
        <v>0</v>
      </c>
    </row>
    <row r="26" spans="1:10" ht="15.75">
      <c r="A26" s="417" t="s">
        <v>568</v>
      </c>
      <c r="B26" s="418">
        <v>1086681</v>
      </c>
      <c r="C26" s="411">
        <v>0</v>
      </c>
      <c r="D26" s="419">
        <f t="shared" si="0"/>
        <v>1086681</v>
      </c>
      <c r="E26" s="418">
        <v>0</v>
      </c>
      <c r="F26" s="411">
        <v>791681.55</v>
      </c>
      <c r="G26" s="419">
        <f t="shared" si="1"/>
        <v>791681.55</v>
      </c>
      <c r="H26" s="418">
        <f t="shared" si="2"/>
        <v>-1086681</v>
      </c>
      <c r="I26" s="411">
        <f t="shared" si="3"/>
        <v>791681.55</v>
      </c>
      <c r="J26" s="419">
        <f t="shared" si="4"/>
        <v>-294999.44999999995</v>
      </c>
    </row>
    <row r="27" spans="1:10" ht="15.75">
      <c r="A27" s="417" t="s">
        <v>569</v>
      </c>
      <c r="B27" s="418">
        <v>0</v>
      </c>
      <c r="C27" s="411">
        <v>0</v>
      </c>
      <c r="D27" s="419">
        <f t="shared" si="0"/>
        <v>0</v>
      </c>
      <c r="E27" s="418">
        <v>0</v>
      </c>
      <c r="F27" s="411">
        <v>0</v>
      </c>
      <c r="G27" s="419">
        <f t="shared" si="1"/>
        <v>0</v>
      </c>
      <c r="H27" s="418">
        <f t="shared" si="2"/>
        <v>0</v>
      </c>
      <c r="I27" s="411">
        <f t="shared" si="3"/>
        <v>0</v>
      </c>
      <c r="J27" s="419">
        <f t="shared" si="4"/>
        <v>0</v>
      </c>
    </row>
    <row r="28" spans="1:10" ht="15.75">
      <c r="A28" s="417" t="s">
        <v>581</v>
      </c>
      <c r="B28" s="418">
        <v>19809307.14</v>
      </c>
      <c r="C28" s="411">
        <v>78171153.66</v>
      </c>
      <c r="D28" s="419">
        <f t="shared" si="0"/>
        <v>97980460.8</v>
      </c>
      <c r="E28" s="418">
        <v>12391920.4</v>
      </c>
      <c r="F28" s="411">
        <v>97302261.31</v>
      </c>
      <c r="G28" s="419">
        <f t="shared" si="1"/>
        <v>109694181.71000001</v>
      </c>
      <c r="H28" s="418">
        <f t="shared" si="2"/>
        <v>-7417386.74</v>
      </c>
      <c r="I28" s="411">
        <f t="shared" si="3"/>
        <v>19131107.650000006</v>
      </c>
      <c r="J28" s="419">
        <f t="shared" si="4"/>
        <v>11713720.910000006</v>
      </c>
    </row>
    <row r="29" spans="1:10" ht="15.75">
      <c r="A29" s="417" t="s">
        <v>571</v>
      </c>
      <c r="B29" s="418">
        <v>390516.2</v>
      </c>
      <c r="C29" s="411">
        <v>509119.78</v>
      </c>
      <c r="D29" s="419">
        <f t="shared" si="0"/>
        <v>899635.98</v>
      </c>
      <c r="E29" s="418">
        <v>328.5</v>
      </c>
      <c r="F29" s="411">
        <v>1552201.62</v>
      </c>
      <c r="G29" s="419">
        <f t="shared" si="1"/>
        <v>1552530.12</v>
      </c>
      <c r="H29" s="418">
        <f t="shared" si="2"/>
        <v>-390187.7</v>
      </c>
      <c r="I29" s="411">
        <f t="shared" si="3"/>
        <v>1043081.8400000001</v>
      </c>
      <c r="J29" s="419">
        <f t="shared" si="4"/>
        <v>652894.1400000001</v>
      </c>
    </row>
    <row r="30" spans="1:10" ht="15.75">
      <c r="A30" s="417" t="s">
        <v>582</v>
      </c>
      <c r="B30" s="418">
        <v>0</v>
      </c>
      <c r="C30" s="411">
        <v>0</v>
      </c>
      <c r="D30" s="419">
        <f t="shared" si="0"/>
        <v>0</v>
      </c>
      <c r="E30" s="418">
        <v>0</v>
      </c>
      <c r="F30" s="411">
        <v>0</v>
      </c>
      <c r="G30" s="419">
        <f t="shared" si="1"/>
        <v>0</v>
      </c>
      <c r="H30" s="418">
        <f t="shared" si="2"/>
        <v>0</v>
      </c>
      <c r="I30" s="411">
        <f t="shared" si="3"/>
        <v>0</v>
      </c>
      <c r="J30" s="419">
        <f t="shared" si="4"/>
        <v>0</v>
      </c>
    </row>
    <row r="31" spans="1:10" ht="15.75">
      <c r="A31" s="417" t="s">
        <v>573</v>
      </c>
      <c r="B31" s="418">
        <v>2343753.91</v>
      </c>
      <c r="C31" s="411">
        <v>0</v>
      </c>
      <c r="D31" s="419">
        <f t="shared" si="0"/>
        <v>2343753.91</v>
      </c>
      <c r="E31" s="418">
        <v>2370095.49</v>
      </c>
      <c r="F31" s="411">
        <v>0</v>
      </c>
      <c r="G31" s="419">
        <f t="shared" si="1"/>
        <v>2370095.49</v>
      </c>
      <c r="H31" s="418">
        <f t="shared" si="2"/>
        <v>26341.580000000075</v>
      </c>
      <c r="I31" s="411">
        <f t="shared" si="3"/>
        <v>0</v>
      </c>
      <c r="J31" s="419">
        <f t="shared" si="4"/>
        <v>26341.580000000075</v>
      </c>
    </row>
    <row r="32" spans="1:10" ht="15.75">
      <c r="A32" s="417" t="s">
        <v>574</v>
      </c>
      <c r="B32" s="418">
        <v>0</v>
      </c>
      <c r="C32" s="411">
        <v>0</v>
      </c>
      <c r="D32" s="419">
        <f t="shared" si="0"/>
        <v>0</v>
      </c>
      <c r="E32" s="418">
        <v>0</v>
      </c>
      <c r="F32" s="411">
        <v>0</v>
      </c>
      <c r="G32" s="419">
        <f t="shared" si="1"/>
        <v>0</v>
      </c>
      <c r="H32" s="418">
        <f t="shared" si="2"/>
        <v>0</v>
      </c>
      <c r="I32" s="411">
        <f t="shared" si="3"/>
        <v>0</v>
      </c>
      <c r="J32" s="419">
        <f t="shared" si="4"/>
        <v>0</v>
      </c>
    </row>
    <row r="33" spans="1:10" ht="15.75">
      <c r="A33" s="417" t="s">
        <v>575</v>
      </c>
      <c r="B33" s="418">
        <v>0</v>
      </c>
      <c r="C33" s="411">
        <v>0</v>
      </c>
      <c r="D33" s="419">
        <f t="shared" si="0"/>
        <v>0</v>
      </c>
      <c r="E33" s="418">
        <v>0</v>
      </c>
      <c r="F33" s="411">
        <v>0</v>
      </c>
      <c r="G33" s="419">
        <f t="shared" si="1"/>
        <v>0</v>
      </c>
      <c r="H33" s="418">
        <f t="shared" si="2"/>
        <v>0</v>
      </c>
      <c r="I33" s="411">
        <f t="shared" si="3"/>
        <v>0</v>
      </c>
      <c r="J33" s="419">
        <f t="shared" si="4"/>
        <v>0</v>
      </c>
    </row>
    <row r="34" spans="1:10" ht="15.75">
      <c r="A34" s="417" t="s">
        <v>576</v>
      </c>
      <c r="B34" s="418">
        <v>0</v>
      </c>
      <c r="C34" s="411">
        <v>0</v>
      </c>
      <c r="D34" s="419">
        <f t="shared" si="0"/>
        <v>0</v>
      </c>
      <c r="E34" s="418">
        <v>0</v>
      </c>
      <c r="F34" s="411">
        <v>0</v>
      </c>
      <c r="G34" s="419">
        <f t="shared" si="1"/>
        <v>0</v>
      </c>
      <c r="H34" s="418">
        <f t="shared" si="2"/>
        <v>0</v>
      </c>
      <c r="I34" s="411">
        <f t="shared" si="3"/>
        <v>0</v>
      </c>
      <c r="J34" s="419">
        <f t="shared" si="4"/>
        <v>0</v>
      </c>
    </row>
    <row r="35" spans="1:10" ht="15.75">
      <c r="A35" s="417" t="s">
        <v>583</v>
      </c>
      <c r="B35" s="418">
        <v>9636987422.68</v>
      </c>
      <c r="C35" s="411">
        <v>3262052.09</v>
      </c>
      <c r="D35" s="419">
        <f t="shared" si="0"/>
        <v>9640249474.77</v>
      </c>
      <c r="E35" s="418">
        <v>10715848933.46</v>
      </c>
      <c r="F35" s="411">
        <v>1822708.37</v>
      </c>
      <c r="G35" s="419">
        <f t="shared" si="1"/>
        <v>10717671641.83</v>
      </c>
      <c r="H35" s="418">
        <f t="shared" si="2"/>
        <v>1078861510.7799988</v>
      </c>
      <c r="I35" s="411">
        <f t="shared" si="3"/>
        <v>-1439343.7199999997</v>
      </c>
      <c r="J35" s="419">
        <f t="shared" si="4"/>
        <v>1077422167.0599988</v>
      </c>
    </row>
    <row r="36" spans="1:10" ht="25.5" customHeight="1">
      <c r="A36" s="422" t="s">
        <v>545</v>
      </c>
      <c r="B36" s="534">
        <f aca="true" t="shared" si="5" ref="B36:J36">SUM(B4:B35)</f>
        <v>11744073355.59</v>
      </c>
      <c r="C36" s="534">
        <f t="shared" si="5"/>
        <v>786243089.97</v>
      </c>
      <c r="D36" s="534">
        <f t="shared" si="5"/>
        <v>12530316445.560001</v>
      </c>
      <c r="E36" s="534">
        <f t="shared" si="5"/>
        <v>13228914781.039999</v>
      </c>
      <c r="F36" s="534">
        <f t="shared" si="5"/>
        <v>818742047.4499998</v>
      </c>
      <c r="G36" s="534">
        <f t="shared" si="5"/>
        <v>14047656828.49</v>
      </c>
      <c r="H36" s="423">
        <f t="shared" si="5"/>
        <v>1484841425.4499986</v>
      </c>
      <c r="I36" s="534">
        <f t="shared" si="5"/>
        <v>32498957.47999999</v>
      </c>
      <c r="J36" s="534">
        <f t="shared" si="5"/>
        <v>1517340382.9299986</v>
      </c>
    </row>
  </sheetData>
  <mergeCells count="5">
    <mergeCell ref="A1:J1"/>
    <mergeCell ref="B2:D2"/>
    <mergeCell ref="H2:J2"/>
    <mergeCell ref="A2:A3"/>
    <mergeCell ref="E2:G2"/>
  </mergeCells>
  <printOptions horizontalCentered="1"/>
  <pageMargins left="0.44" right="0.56" top="0.64" bottom="0.52" header="0.66" footer="0.5118110236220472"/>
  <pageSetup fitToHeight="1" fitToWidth="1" horizontalDpi="600" verticalDpi="600" orientation="landscape" paperSize="9" scale="65" r:id="rId1"/>
</worksheet>
</file>

<file path=xl/worksheets/sheet34.xml><?xml version="1.0" encoding="utf-8"?>
<worksheet xmlns="http://schemas.openxmlformats.org/spreadsheetml/2006/main" xmlns:r="http://schemas.openxmlformats.org/officeDocument/2006/relationships">
  <sheetPr>
    <tabColor indexed="11"/>
    <pageSetUpPr fitToPage="1"/>
  </sheetPr>
  <dimension ref="A1:L40"/>
  <sheetViews>
    <sheetView workbookViewId="0" topLeftCell="A18">
      <selection activeCell="C40" sqref="C40"/>
    </sheetView>
  </sheetViews>
  <sheetFormatPr defaultColWidth="9.140625" defaultRowHeight="12.75"/>
  <cols>
    <col min="1" max="1" width="32.57421875" style="405" customWidth="1"/>
    <col min="2" max="2" width="17.421875" style="405" bestFit="1" customWidth="1"/>
    <col min="3" max="3" width="10.00390625" style="407" customWidth="1"/>
    <col min="4" max="4" width="15.8515625" style="405" customWidth="1"/>
    <col min="5" max="5" width="10.140625" style="405" bestFit="1" customWidth="1"/>
    <col min="6" max="6" width="17.421875" style="405" bestFit="1" customWidth="1"/>
    <col min="7" max="7" width="10.140625" style="412" customWidth="1"/>
    <col min="8" max="13" width="14.8515625" style="405" customWidth="1"/>
    <col min="14" max="16384" width="9.140625" style="405" customWidth="1"/>
  </cols>
  <sheetData>
    <row r="1" spans="1:12" ht="64.5" customHeight="1">
      <c r="A1" s="595" t="s">
        <v>647</v>
      </c>
      <c r="B1" s="595"/>
      <c r="C1" s="595"/>
      <c r="D1" s="595"/>
      <c r="E1" s="595"/>
      <c r="F1" s="595"/>
      <c r="G1" s="595"/>
      <c r="H1" s="404"/>
      <c r="I1" s="404"/>
      <c r="J1" s="404"/>
      <c r="K1" s="404"/>
      <c r="L1" s="404"/>
    </row>
    <row r="2" spans="1:7" s="406" customFormat="1" ht="47.25">
      <c r="A2" s="511" t="s">
        <v>542</v>
      </c>
      <c r="B2" s="512" t="s">
        <v>584</v>
      </c>
      <c r="C2" s="520" t="s">
        <v>646</v>
      </c>
      <c r="D2" s="513" t="s">
        <v>585</v>
      </c>
      <c r="E2" s="522" t="s">
        <v>646</v>
      </c>
      <c r="F2" s="514" t="s">
        <v>586</v>
      </c>
      <c r="G2" s="523" t="s">
        <v>646</v>
      </c>
    </row>
    <row r="3" spans="1:7" ht="15.75">
      <c r="A3" s="516" t="s">
        <v>587</v>
      </c>
      <c r="B3" s="386">
        <v>872413038.67</v>
      </c>
      <c r="C3" s="518">
        <f>B3/$B$40</f>
        <v>0.06661596658626773</v>
      </c>
      <c r="D3" s="386">
        <v>100419314</v>
      </c>
      <c r="E3" s="518">
        <f>D3/$D$40</f>
        <v>0.13598009144676387</v>
      </c>
      <c r="F3" s="469">
        <f aca="true" t="shared" si="0" ref="F3:F40">B3+D3</f>
        <v>972832352.67</v>
      </c>
      <c r="G3" s="518">
        <f>F3/$F$40</f>
        <v>0.07031858494483517</v>
      </c>
    </row>
    <row r="4" spans="1:7" ht="15.75">
      <c r="A4" s="516" t="s">
        <v>588</v>
      </c>
      <c r="B4" s="386">
        <v>907137892.32</v>
      </c>
      <c r="C4" s="518">
        <f aca="true" t="shared" si="1" ref="C4:C40">B4/$B$40</f>
        <v>0.06926749698291101</v>
      </c>
      <c r="D4" s="386">
        <v>50382184.82</v>
      </c>
      <c r="E4" s="518">
        <f aca="true" t="shared" si="2" ref="E4:E40">D4/$D$40</f>
        <v>0.06822366959319558</v>
      </c>
      <c r="F4" s="469">
        <f t="shared" si="0"/>
        <v>957520077.1400001</v>
      </c>
      <c r="G4" s="518">
        <f aca="true" t="shared" si="3" ref="G4:G40">F4/$F$40</f>
        <v>0.06921177805811944</v>
      </c>
    </row>
    <row r="5" spans="1:7" ht="31.5">
      <c r="A5" s="516" t="s">
        <v>589</v>
      </c>
      <c r="B5" s="386">
        <v>418406.06</v>
      </c>
      <c r="C5" s="518">
        <f t="shared" si="1"/>
        <v>3.194877068199691E-05</v>
      </c>
      <c r="D5" s="386">
        <v>0</v>
      </c>
      <c r="E5" s="518">
        <f t="shared" si="2"/>
        <v>0</v>
      </c>
      <c r="F5" s="469">
        <f t="shared" si="0"/>
        <v>418406.06</v>
      </c>
      <c r="G5" s="518">
        <f t="shared" si="3"/>
        <v>3.024336309415905E-05</v>
      </c>
    </row>
    <row r="6" spans="1:7" ht="15.75">
      <c r="A6" s="516" t="s">
        <v>590</v>
      </c>
      <c r="B6" s="386">
        <v>125035346.97</v>
      </c>
      <c r="C6" s="518">
        <f t="shared" si="1"/>
        <v>0.00954748510929418</v>
      </c>
      <c r="D6" s="386">
        <v>20179691.4</v>
      </c>
      <c r="E6" s="518">
        <f t="shared" si="2"/>
        <v>0.027325781989901606</v>
      </c>
      <c r="F6" s="469">
        <f t="shared" si="0"/>
        <v>145215038.37</v>
      </c>
      <c r="G6" s="518">
        <f t="shared" si="3"/>
        <v>0.010496480696661393</v>
      </c>
    </row>
    <row r="7" spans="1:7" ht="15.75">
      <c r="A7" s="516" t="s">
        <v>591</v>
      </c>
      <c r="B7" s="386">
        <v>393055806.01</v>
      </c>
      <c r="C7" s="518">
        <f t="shared" si="1"/>
        <v>0.030013068671713196</v>
      </c>
      <c r="D7" s="386">
        <v>41342614.09</v>
      </c>
      <c r="E7" s="518">
        <f t="shared" si="2"/>
        <v>0.05598297997341895</v>
      </c>
      <c r="F7" s="469">
        <f t="shared" si="0"/>
        <v>434398420.1</v>
      </c>
      <c r="G7" s="518">
        <f t="shared" si="3"/>
        <v>0.03139932807525144</v>
      </c>
    </row>
    <row r="8" spans="1:7" ht="15.75">
      <c r="A8" s="516" t="s">
        <v>592</v>
      </c>
      <c r="B8" s="386">
        <v>218821693.74</v>
      </c>
      <c r="C8" s="518">
        <f t="shared" si="1"/>
        <v>0.01670885004281587</v>
      </c>
      <c r="D8" s="386">
        <v>16508629.6</v>
      </c>
      <c r="E8" s="518">
        <f t="shared" si="2"/>
        <v>0.022354713184644468</v>
      </c>
      <c r="F8" s="469">
        <f t="shared" si="0"/>
        <v>235330323.34</v>
      </c>
      <c r="G8" s="518">
        <f t="shared" si="3"/>
        <v>0.01701022307334046</v>
      </c>
    </row>
    <row r="9" spans="1:7" ht="15.75">
      <c r="A9" s="516" t="s">
        <v>593</v>
      </c>
      <c r="B9" s="386">
        <v>9309404.23</v>
      </c>
      <c r="C9" s="518">
        <f t="shared" si="1"/>
        <v>0.0007108501749001485</v>
      </c>
      <c r="D9" s="386">
        <v>3548979.42</v>
      </c>
      <c r="E9" s="518">
        <f t="shared" si="2"/>
        <v>0.004805754260323696</v>
      </c>
      <c r="F9" s="469">
        <f t="shared" si="0"/>
        <v>12858383.65</v>
      </c>
      <c r="G9" s="518">
        <f t="shared" si="3"/>
        <v>0.0009294338746693779</v>
      </c>
    </row>
    <row r="10" spans="1:7" ht="15.75">
      <c r="A10" s="516" t="s">
        <v>594</v>
      </c>
      <c r="B10" s="386">
        <v>948618625.94</v>
      </c>
      <c r="C10" s="518">
        <f t="shared" si="1"/>
        <v>0.07243489481205904</v>
      </c>
      <c r="D10" s="386">
        <v>132544727.19</v>
      </c>
      <c r="E10" s="518">
        <f t="shared" si="2"/>
        <v>0.17948184872167688</v>
      </c>
      <c r="F10" s="469">
        <f t="shared" si="0"/>
        <v>1081163353.13</v>
      </c>
      <c r="G10" s="518">
        <f t="shared" si="3"/>
        <v>0.07814900160100237</v>
      </c>
    </row>
    <row r="11" spans="1:7" ht="15.75">
      <c r="A11" s="516" t="s">
        <v>595</v>
      </c>
      <c r="B11" s="386">
        <v>5606636110.83</v>
      </c>
      <c r="C11" s="518">
        <f t="shared" si="1"/>
        <v>0.42811313823301383</v>
      </c>
      <c r="D11" s="386">
        <v>251674275.96</v>
      </c>
      <c r="E11" s="518">
        <f t="shared" si="2"/>
        <v>0.3407978973032906</v>
      </c>
      <c r="F11" s="469">
        <f t="shared" si="0"/>
        <v>5858310386.79</v>
      </c>
      <c r="G11" s="518">
        <f t="shared" si="3"/>
        <v>0.4234522992950277</v>
      </c>
    </row>
    <row r="12" spans="1:7" ht="15.75">
      <c r="A12" s="516" t="s">
        <v>596</v>
      </c>
      <c r="B12" s="386">
        <v>1947120820.96</v>
      </c>
      <c r="C12" s="518">
        <f t="shared" si="1"/>
        <v>0.14867881358838972</v>
      </c>
      <c r="D12" s="386">
        <v>27765478.05</v>
      </c>
      <c r="E12" s="518">
        <f t="shared" si="2"/>
        <v>0.037597869313288824</v>
      </c>
      <c r="F12" s="469">
        <f t="shared" si="0"/>
        <v>1974886299.01</v>
      </c>
      <c r="G12" s="518">
        <f t="shared" si="3"/>
        <v>0.14274937464012685</v>
      </c>
    </row>
    <row r="13" spans="1:7" ht="15.75">
      <c r="A13" s="516" t="s">
        <v>597</v>
      </c>
      <c r="B13" s="386">
        <v>28356173.39</v>
      </c>
      <c r="C13" s="518">
        <f t="shared" si="1"/>
        <v>0.0021652288713410435</v>
      </c>
      <c r="D13" s="386">
        <v>2745032.71</v>
      </c>
      <c r="E13" s="518">
        <f t="shared" si="2"/>
        <v>0.003717111619883781</v>
      </c>
      <c r="F13" s="469">
        <f t="shared" si="0"/>
        <v>31101206.1</v>
      </c>
      <c r="G13" s="518">
        <f t="shared" si="3"/>
        <v>0.002248067508268342</v>
      </c>
    </row>
    <row r="14" spans="1:7" ht="15.75">
      <c r="A14" s="516" t="s">
        <v>598</v>
      </c>
      <c r="B14" s="386">
        <v>177718058.79</v>
      </c>
      <c r="C14" s="518">
        <f t="shared" si="1"/>
        <v>0.01357024682274285</v>
      </c>
      <c r="D14" s="386">
        <v>1585585.32</v>
      </c>
      <c r="E14" s="518">
        <f t="shared" si="2"/>
        <v>0.0021470773720904564</v>
      </c>
      <c r="F14" s="469">
        <f t="shared" si="0"/>
        <v>179303644.10999998</v>
      </c>
      <c r="G14" s="518">
        <f t="shared" si="3"/>
        <v>0.012960484398635628</v>
      </c>
    </row>
    <row r="15" spans="1:7" ht="15.75">
      <c r="A15" s="516" t="s">
        <v>599</v>
      </c>
      <c r="B15" s="386">
        <v>3749832.5</v>
      </c>
      <c r="C15" s="518">
        <f t="shared" si="1"/>
        <v>0.00028633079224139147</v>
      </c>
      <c r="D15" s="386">
        <v>47249</v>
      </c>
      <c r="E15" s="518">
        <f t="shared" si="2"/>
        <v>6.398095231728178E-05</v>
      </c>
      <c r="F15" s="469">
        <f t="shared" si="0"/>
        <v>3797081.5</v>
      </c>
      <c r="G15" s="518">
        <f t="shared" si="3"/>
        <v>0.00027446188160519015</v>
      </c>
    </row>
    <row r="16" spans="1:7" ht="15.75">
      <c r="A16" s="516" t="s">
        <v>600</v>
      </c>
      <c r="B16" s="386">
        <v>29900</v>
      </c>
      <c r="C16" s="518">
        <f t="shared" si="1"/>
        <v>2.2831128291777313E-06</v>
      </c>
      <c r="D16" s="386">
        <v>175982</v>
      </c>
      <c r="E16" s="518">
        <f t="shared" si="2"/>
        <v>0.00023830125400960616</v>
      </c>
      <c r="F16" s="469">
        <f t="shared" si="0"/>
        <v>205882</v>
      </c>
      <c r="G16" s="518">
        <f t="shared" si="3"/>
        <v>1.4881629775036369E-05</v>
      </c>
    </row>
    <row r="17" spans="1:7" ht="15.75">
      <c r="A17" s="516" t="s">
        <v>601</v>
      </c>
      <c r="B17" s="386">
        <v>32117853.82</v>
      </c>
      <c r="C17" s="518">
        <f t="shared" si="1"/>
        <v>0.0024524643512407024</v>
      </c>
      <c r="D17" s="386">
        <v>11108061.34</v>
      </c>
      <c r="E17" s="518">
        <f t="shared" si="2"/>
        <v>0.015041680097610132</v>
      </c>
      <c r="F17" s="469">
        <f t="shared" si="0"/>
        <v>43225915.16</v>
      </c>
      <c r="G17" s="518">
        <f t="shared" si="3"/>
        <v>0.0031244696772823846</v>
      </c>
    </row>
    <row r="18" spans="1:7" ht="15.75">
      <c r="A18" s="516" t="s">
        <v>602</v>
      </c>
      <c r="B18" s="386">
        <v>13098010.63</v>
      </c>
      <c r="C18" s="518">
        <f t="shared" si="1"/>
        <v>0.0010001416757879364</v>
      </c>
      <c r="D18" s="386">
        <v>2105552.4</v>
      </c>
      <c r="E18" s="518">
        <f t="shared" si="2"/>
        <v>0.0028511766959287647</v>
      </c>
      <c r="F18" s="469">
        <f t="shared" si="0"/>
        <v>15203563.030000001</v>
      </c>
      <c r="G18" s="518">
        <f t="shared" si="3"/>
        <v>0.0010989488943855712</v>
      </c>
    </row>
    <row r="19" spans="1:7" ht="31.5">
      <c r="A19" s="516" t="s">
        <v>603</v>
      </c>
      <c r="B19" s="386">
        <v>189768.8</v>
      </c>
      <c r="C19" s="518">
        <f t="shared" si="1"/>
        <v>1.449042079791515E-05</v>
      </c>
      <c r="D19" s="386">
        <v>5960</v>
      </c>
      <c r="E19" s="518">
        <f t="shared" si="2"/>
        <v>8.070572410230891E-06</v>
      </c>
      <c r="F19" s="469">
        <f t="shared" si="0"/>
        <v>195728.8</v>
      </c>
      <c r="G19" s="518">
        <f t="shared" si="3"/>
        <v>1.4147732865972442E-05</v>
      </c>
    </row>
    <row r="20" spans="1:7" ht="15.75">
      <c r="A20" s="516" t="s">
        <v>604</v>
      </c>
      <c r="B20" s="386">
        <v>1926354.2</v>
      </c>
      <c r="C20" s="518">
        <f t="shared" si="1"/>
        <v>0.000147093109951853</v>
      </c>
      <c r="D20" s="386">
        <v>1367518.73</v>
      </c>
      <c r="E20" s="518">
        <f t="shared" si="2"/>
        <v>0.0018517884115456355</v>
      </c>
      <c r="F20" s="469">
        <f t="shared" si="0"/>
        <v>3293872.9299999997</v>
      </c>
      <c r="G20" s="518">
        <f t="shared" si="3"/>
        <v>0.0002380887958649823</v>
      </c>
    </row>
    <row r="21" spans="1:7" ht="31.5">
      <c r="A21" s="516" t="s">
        <v>605</v>
      </c>
      <c r="B21" s="386">
        <v>1237440</v>
      </c>
      <c r="C21" s="518">
        <f t="shared" si="1"/>
        <v>9.448880064674555E-05</v>
      </c>
      <c r="D21" s="386">
        <v>2089816.59</v>
      </c>
      <c r="E21" s="518">
        <f t="shared" si="2"/>
        <v>0.0028298684754524835</v>
      </c>
      <c r="F21" s="469">
        <f t="shared" si="0"/>
        <v>3327256.59</v>
      </c>
      <c r="G21" s="518">
        <f t="shared" si="3"/>
        <v>0.00024050184444939323</v>
      </c>
    </row>
    <row r="22" spans="1:7" ht="15.75">
      <c r="A22" s="516" t="s">
        <v>606</v>
      </c>
      <c r="B22" s="386">
        <v>1356060.53</v>
      </c>
      <c r="C22" s="518">
        <f t="shared" si="1"/>
        <v>0.0001035464613105202</v>
      </c>
      <c r="D22" s="386">
        <v>283833.06</v>
      </c>
      <c r="E22" s="518">
        <f t="shared" si="2"/>
        <v>0.000384344842809968</v>
      </c>
      <c r="F22" s="469">
        <f t="shared" si="0"/>
        <v>1639893.59</v>
      </c>
      <c r="G22" s="518">
        <f t="shared" si="3"/>
        <v>0.00011853532254803861</v>
      </c>
    </row>
    <row r="23" spans="1:7" ht="15.75">
      <c r="A23" s="516" t="s">
        <v>607</v>
      </c>
      <c r="B23" s="386">
        <v>33271261.93</v>
      </c>
      <c r="C23" s="518">
        <f t="shared" si="1"/>
        <v>0.0025405366205791184</v>
      </c>
      <c r="D23" s="386">
        <v>804581.84</v>
      </c>
      <c r="E23" s="518">
        <f t="shared" si="2"/>
        <v>0.001089502684509531</v>
      </c>
      <c r="F23" s="469">
        <f t="shared" si="0"/>
        <v>34075843.77</v>
      </c>
      <c r="G23" s="518">
        <f t="shared" si="3"/>
        <v>0.002463081237102416</v>
      </c>
    </row>
    <row r="24" spans="1:7" ht="15.75">
      <c r="A24" s="516" t="s">
        <v>608</v>
      </c>
      <c r="B24" s="386">
        <v>759705.9</v>
      </c>
      <c r="C24" s="518">
        <f t="shared" si="1"/>
        <v>5.800984236428143E-05</v>
      </c>
      <c r="D24" s="386">
        <v>259753.5</v>
      </c>
      <c r="E24" s="518">
        <f t="shared" si="2"/>
        <v>0.0003517381594900855</v>
      </c>
      <c r="F24" s="469">
        <f t="shared" si="0"/>
        <v>1019459.4</v>
      </c>
      <c r="G24" s="518">
        <f t="shared" si="3"/>
        <v>7.368889636530009E-05</v>
      </c>
    </row>
    <row r="25" spans="1:7" ht="17.25" customHeight="1">
      <c r="A25" s="516" t="s">
        <v>609</v>
      </c>
      <c r="B25" s="386">
        <v>0</v>
      </c>
      <c r="C25" s="518">
        <f t="shared" si="1"/>
        <v>0</v>
      </c>
      <c r="D25" s="386">
        <v>119823.94</v>
      </c>
      <c r="E25" s="518">
        <f t="shared" si="2"/>
        <v>0.00016225633963912108</v>
      </c>
      <c r="F25" s="469">
        <f t="shared" si="0"/>
        <v>119823.94</v>
      </c>
      <c r="G25" s="518">
        <f t="shared" si="3"/>
        <v>8.661153054983784E-06</v>
      </c>
    </row>
    <row r="26" spans="1:7" ht="15.75">
      <c r="A26" s="516" t="s">
        <v>610</v>
      </c>
      <c r="B26" s="386">
        <v>1679980.49</v>
      </c>
      <c r="C26" s="518">
        <f t="shared" si="1"/>
        <v>0.0001282804350999094</v>
      </c>
      <c r="D26" s="386">
        <v>178303.26</v>
      </c>
      <c r="E26" s="518">
        <f t="shared" si="2"/>
        <v>0.0002414445253037291</v>
      </c>
      <c r="F26" s="469">
        <f t="shared" si="0"/>
        <v>1858283.75</v>
      </c>
      <c r="G26" s="518">
        <f t="shared" si="3"/>
        <v>0.00013432107121781527</v>
      </c>
    </row>
    <row r="27" spans="1:7" ht="15.75">
      <c r="A27" s="516" t="s">
        <v>611</v>
      </c>
      <c r="B27" s="386">
        <v>956835910.35</v>
      </c>
      <c r="C27" s="518">
        <f t="shared" si="1"/>
        <v>0.07306235258655648</v>
      </c>
      <c r="D27" s="386">
        <v>19088945.98</v>
      </c>
      <c r="E27" s="518">
        <f t="shared" si="2"/>
        <v>0.02584877865211005</v>
      </c>
      <c r="F27" s="469">
        <f t="shared" si="0"/>
        <v>975924856.33</v>
      </c>
      <c r="G27" s="518">
        <f t="shared" si="3"/>
        <v>0.07054211830154467</v>
      </c>
    </row>
    <row r="28" spans="1:7" ht="31.5">
      <c r="A28" s="516" t="s">
        <v>612</v>
      </c>
      <c r="B28" s="386">
        <v>609534398.21</v>
      </c>
      <c r="C28" s="518">
        <f t="shared" si="1"/>
        <v>0.04654300349091569</v>
      </c>
      <c r="D28" s="386">
        <v>17461311.15</v>
      </c>
      <c r="E28" s="518">
        <f t="shared" si="2"/>
        <v>0.023644761076115274</v>
      </c>
      <c r="F28" s="469">
        <f t="shared" si="0"/>
        <v>626995709.36</v>
      </c>
      <c r="G28" s="518">
        <f t="shared" si="3"/>
        <v>0.04532070806205412</v>
      </c>
    </row>
    <row r="29" spans="1:7" ht="47.25">
      <c r="A29" s="516" t="s">
        <v>613</v>
      </c>
      <c r="B29" s="386">
        <v>81757625.95</v>
      </c>
      <c r="C29" s="518">
        <f t="shared" si="1"/>
        <v>0.006242872397644121</v>
      </c>
      <c r="D29" s="386">
        <v>0</v>
      </c>
      <c r="E29" s="518">
        <f t="shared" si="2"/>
        <v>0</v>
      </c>
      <c r="F29" s="469">
        <f t="shared" si="0"/>
        <v>81757625.95</v>
      </c>
      <c r="G29" s="518">
        <f t="shared" si="3"/>
        <v>0.005909631345497937</v>
      </c>
    </row>
    <row r="30" spans="1:7" ht="31.5">
      <c r="A30" s="516" t="s">
        <v>614</v>
      </c>
      <c r="B30" s="386">
        <v>47000</v>
      </c>
      <c r="C30" s="518">
        <f t="shared" si="1"/>
        <v>3.58883956425931E-06</v>
      </c>
      <c r="D30" s="386">
        <v>0</v>
      </c>
      <c r="E30" s="518">
        <f t="shared" si="2"/>
        <v>0</v>
      </c>
      <c r="F30" s="469">
        <f t="shared" si="0"/>
        <v>47000</v>
      </c>
      <c r="G30" s="518">
        <f t="shared" si="3"/>
        <v>3.3972693068199714E-06</v>
      </c>
    </row>
    <row r="31" spans="1:7" ht="15.75">
      <c r="A31" s="516" t="s">
        <v>615</v>
      </c>
      <c r="B31" s="386">
        <v>3645.06</v>
      </c>
      <c r="C31" s="518">
        <f t="shared" si="1"/>
        <v>2.7833054344891575E-07</v>
      </c>
      <c r="D31" s="386">
        <v>0</v>
      </c>
      <c r="E31" s="518">
        <f t="shared" si="2"/>
        <v>0</v>
      </c>
      <c r="F31" s="469">
        <f t="shared" si="0"/>
        <v>3645.06</v>
      </c>
      <c r="G31" s="518">
        <f t="shared" si="3"/>
        <v>2.6347341403228097E-07</v>
      </c>
    </row>
    <row r="32" spans="1:7" ht="15.75">
      <c r="A32" s="516" t="s">
        <v>616</v>
      </c>
      <c r="B32" s="386">
        <v>1806819</v>
      </c>
      <c r="C32" s="518">
        <f t="shared" si="1"/>
        <v>0.00013796560665224345</v>
      </c>
      <c r="D32" s="386">
        <v>851677.06</v>
      </c>
      <c r="E32" s="518">
        <f>D32/$D$40</f>
        <v>0.0011532753998091544</v>
      </c>
      <c r="F32" s="469">
        <f t="shared" si="0"/>
        <v>2658496.06</v>
      </c>
      <c r="G32" s="518">
        <f>F32/$F$40</f>
        <v>0.0001921622780199963</v>
      </c>
    </row>
    <row r="33" spans="1:7" ht="31.5">
      <c r="A33" s="516" t="s">
        <v>617</v>
      </c>
      <c r="B33" s="386">
        <v>0</v>
      </c>
      <c r="C33" s="518">
        <f t="shared" si="1"/>
        <v>0</v>
      </c>
      <c r="D33" s="386">
        <v>0</v>
      </c>
      <c r="E33" s="518">
        <f t="shared" si="2"/>
        <v>0</v>
      </c>
      <c r="F33" s="469">
        <f t="shared" si="0"/>
        <v>0</v>
      </c>
      <c r="G33" s="518">
        <f t="shared" si="3"/>
        <v>0</v>
      </c>
    </row>
    <row r="34" spans="1:7" ht="31.5">
      <c r="A34" s="516" t="s">
        <v>618</v>
      </c>
      <c r="B34" s="386">
        <v>0</v>
      </c>
      <c r="C34" s="518">
        <f t="shared" si="1"/>
        <v>0</v>
      </c>
      <c r="D34" s="386">
        <v>11322575.54</v>
      </c>
      <c r="E34" s="518">
        <f t="shared" si="2"/>
        <v>0.01533215868555019</v>
      </c>
      <c r="F34" s="469">
        <f t="shared" si="0"/>
        <v>11322575.54</v>
      </c>
      <c r="G34" s="518">
        <f t="shared" si="3"/>
        <v>0.0008184220926849481</v>
      </c>
    </row>
    <row r="35" spans="1:7" ht="31.5">
      <c r="A35" s="516" t="s">
        <v>619</v>
      </c>
      <c r="B35" s="386">
        <v>0</v>
      </c>
      <c r="C35" s="518">
        <f t="shared" si="1"/>
        <v>0</v>
      </c>
      <c r="D35" s="386">
        <v>0</v>
      </c>
      <c r="E35" s="518">
        <f t="shared" si="2"/>
        <v>0</v>
      </c>
      <c r="F35" s="469">
        <f t="shared" si="0"/>
        <v>0</v>
      </c>
      <c r="G35" s="518">
        <f t="shared" si="3"/>
        <v>0</v>
      </c>
    </row>
    <row r="36" spans="1:7" ht="31.5">
      <c r="A36" s="516" t="s">
        <v>620</v>
      </c>
      <c r="B36" s="386">
        <v>86818181.23</v>
      </c>
      <c r="C36" s="518">
        <f t="shared" si="1"/>
        <v>0.006629287738197</v>
      </c>
      <c r="D36" s="386">
        <v>896000</v>
      </c>
      <c r="E36" s="518">
        <f t="shared" si="2"/>
        <v>0.001213294107309879</v>
      </c>
      <c r="F36" s="469">
        <f t="shared" si="0"/>
        <v>87714181.23</v>
      </c>
      <c r="G36" s="518">
        <f t="shared" si="3"/>
        <v>0.006340185014160074</v>
      </c>
    </row>
    <row r="37" spans="1:7" ht="31.5">
      <c r="A37" s="516" t="s">
        <v>621</v>
      </c>
      <c r="B37" s="386">
        <v>3611373.09</v>
      </c>
      <c r="C37" s="518">
        <f t="shared" si="1"/>
        <v>0.000275758268653051</v>
      </c>
      <c r="D37" s="386">
        <v>0</v>
      </c>
      <c r="E37" s="518">
        <f t="shared" si="2"/>
        <v>0</v>
      </c>
      <c r="F37" s="469">
        <f t="shared" si="0"/>
        <v>3611373.09</v>
      </c>
      <c r="G37" s="518">
        <f t="shared" si="3"/>
        <v>0.00026103844583260846</v>
      </c>
    </row>
    <row r="38" spans="1:7" ht="15.75">
      <c r="A38" s="517" t="s">
        <v>622</v>
      </c>
      <c r="B38" s="386">
        <v>31683088.37</v>
      </c>
      <c r="C38" s="518">
        <f t="shared" si="1"/>
        <v>0.002419266405535745</v>
      </c>
      <c r="D38" s="386">
        <v>20809726.75</v>
      </c>
      <c r="E38" s="518">
        <f t="shared" si="2"/>
        <v>0.028178927277347946</v>
      </c>
      <c r="F38" s="469">
        <f t="shared" si="0"/>
        <v>52492815.120000005</v>
      </c>
      <c r="G38" s="518">
        <f t="shared" si="3"/>
        <v>0.0037943027582074754</v>
      </c>
    </row>
    <row r="39" spans="1:7" ht="31.5">
      <c r="A39" s="517" t="s">
        <v>623</v>
      </c>
      <c r="B39" s="386">
        <v>-366.08</v>
      </c>
      <c r="C39" s="518">
        <f t="shared" si="1"/>
        <v>-2.795324229114996E-08</v>
      </c>
      <c r="D39" s="386">
        <v>812228.36</v>
      </c>
      <c r="E39" s="518">
        <f t="shared" si="2"/>
        <v>0.0010998570122521952</v>
      </c>
      <c r="F39" s="469">
        <f t="shared" si="0"/>
        <v>811862.28</v>
      </c>
      <c r="G39" s="518">
        <f t="shared" si="3"/>
        <v>5.868329372784855E-05</v>
      </c>
    </row>
    <row r="40" spans="1:7" ht="15.75">
      <c r="A40" s="508" t="s">
        <v>155</v>
      </c>
      <c r="B40" s="509">
        <f>SUM(B3:B39)</f>
        <v>13096155221.890001</v>
      </c>
      <c r="C40" s="510">
        <f t="shared" si="1"/>
        <v>1</v>
      </c>
      <c r="D40" s="509">
        <f>SUM(D3:D39)</f>
        <v>738485413.0600001</v>
      </c>
      <c r="E40" s="510">
        <f t="shared" si="2"/>
        <v>1</v>
      </c>
      <c r="F40" s="509">
        <f t="shared" si="0"/>
        <v>13834640634.95</v>
      </c>
      <c r="G40" s="510">
        <f t="shared" si="3"/>
        <v>1</v>
      </c>
    </row>
  </sheetData>
  <mergeCells count="1">
    <mergeCell ref="A1:G1"/>
  </mergeCells>
  <printOptions horizontalCentered="1"/>
  <pageMargins left="0.52" right="0.44" top="0.5" bottom="0.51" header="0.5118110236220472" footer="0.5118110236220472"/>
  <pageSetup fitToHeight="1" fitToWidth="1" horizontalDpi="600" verticalDpi="600" orientation="portrait" paperSize="9" scale="83" r:id="rId1"/>
</worksheet>
</file>

<file path=xl/worksheets/sheet35.xml><?xml version="1.0" encoding="utf-8"?>
<worksheet xmlns="http://schemas.openxmlformats.org/spreadsheetml/2006/main" xmlns:r="http://schemas.openxmlformats.org/officeDocument/2006/relationships">
  <sheetPr>
    <tabColor indexed="11"/>
    <pageSetUpPr fitToPage="1"/>
  </sheetPr>
  <dimension ref="A1:L42"/>
  <sheetViews>
    <sheetView zoomScale="75" zoomScaleNormal="75" workbookViewId="0" topLeftCell="A2">
      <selection activeCell="C39" sqref="C39"/>
    </sheetView>
  </sheetViews>
  <sheetFormatPr defaultColWidth="9.140625" defaultRowHeight="12.75"/>
  <cols>
    <col min="1" max="1" width="56.421875" style="409" customWidth="1"/>
    <col min="2" max="10" width="18.28125" style="409" customWidth="1"/>
    <col min="11" max="13" width="14.8515625" style="409" customWidth="1"/>
    <col min="14" max="16384" width="9.140625" style="409" customWidth="1"/>
  </cols>
  <sheetData>
    <row r="1" spans="1:12" ht="75" customHeight="1">
      <c r="A1" s="606" t="s">
        <v>648</v>
      </c>
      <c r="B1" s="606"/>
      <c r="C1" s="606"/>
      <c r="D1" s="606"/>
      <c r="E1" s="606"/>
      <c r="F1" s="606"/>
      <c r="G1" s="606"/>
      <c r="H1" s="606"/>
      <c r="I1" s="606"/>
      <c r="J1" s="606"/>
      <c r="K1" s="408"/>
      <c r="L1" s="408"/>
    </row>
    <row r="2" spans="1:12" ht="38.25" customHeight="1">
      <c r="A2" s="608" t="s">
        <v>542</v>
      </c>
      <c r="B2" s="607" t="s">
        <v>578</v>
      </c>
      <c r="C2" s="607"/>
      <c r="D2" s="607"/>
      <c r="E2" s="607" t="s">
        <v>579</v>
      </c>
      <c r="F2" s="607"/>
      <c r="G2" s="607"/>
      <c r="H2" s="607" t="s">
        <v>580</v>
      </c>
      <c r="I2" s="607"/>
      <c r="J2" s="607"/>
      <c r="K2" s="408"/>
      <c r="L2" s="408"/>
    </row>
    <row r="3" spans="1:10" s="410" customFormat="1" ht="54" customHeight="1">
      <c r="A3" s="608"/>
      <c r="B3" s="414" t="s">
        <v>584</v>
      </c>
      <c r="C3" s="415" t="s">
        <v>585</v>
      </c>
      <c r="D3" s="416" t="s">
        <v>586</v>
      </c>
      <c r="E3" s="414" t="s">
        <v>584</v>
      </c>
      <c r="F3" s="415" t="s">
        <v>585</v>
      </c>
      <c r="G3" s="416" t="s">
        <v>586</v>
      </c>
      <c r="H3" s="414" t="s">
        <v>584</v>
      </c>
      <c r="I3" s="415" t="s">
        <v>585</v>
      </c>
      <c r="J3" s="416" t="s">
        <v>586</v>
      </c>
    </row>
    <row r="4" spans="1:10" ht="15.75">
      <c r="A4" s="417" t="s">
        <v>587</v>
      </c>
      <c r="B4" s="418">
        <v>796793056.12</v>
      </c>
      <c r="C4" s="411">
        <v>95839039.33</v>
      </c>
      <c r="D4" s="419">
        <f aca="true" t="shared" si="0" ref="D4:D39">B4+C4</f>
        <v>892632095.45</v>
      </c>
      <c r="E4" s="418">
        <v>872413038.67</v>
      </c>
      <c r="F4" s="411">
        <v>100419314</v>
      </c>
      <c r="G4" s="419">
        <f aca="true" t="shared" si="1" ref="G4:G40">E4+F4</f>
        <v>972832352.67</v>
      </c>
      <c r="H4" s="418">
        <f aca="true" t="shared" si="2" ref="H4:H40">E4-B4</f>
        <v>75619982.54999995</v>
      </c>
      <c r="I4" s="411">
        <f aca="true" t="shared" si="3" ref="I4:I40">F4-C4</f>
        <v>4580274.670000002</v>
      </c>
      <c r="J4" s="419">
        <f aca="true" t="shared" si="4" ref="J4:J41">H4+I4</f>
        <v>80200257.21999995</v>
      </c>
    </row>
    <row r="5" spans="1:10" ht="15.75">
      <c r="A5" s="417" t="s">
        <v>588</v>
      </c>
      <c r="B5" s="418">
        <v>820145390.53</v>
      </c>
      <c r="C5" s="411">
        <v>40461875.24</v>
      </c>
      <c r="D5" s="419">
        <f t="shared" si="0"/>
        <v>860607265.77</v>
      </c>
      <c r="E5" s="418">
        <v>907137892.32</v>
      </c>
      <c r="F5" s="411">
        <v>50382184.82</v>
      </c>
      <c r="G5" s="419">
        <f t="shared" si="1"/>
        <v>957520077.1400001</v>
      </c>
      <c r="H5" s="418">
        <f t="shared" si="2"/>
        <v>86992501.79000008</v>
      </c>
      <c r="I5" s="411">
        <f t="shared" si="3"/>
        <v>9920309.579999998</v>
      </c>
      <c r="J5" s="419">
        <f t="shared" si="4"/>
        <v>96912811.37000008</v>
      </c>
    </row>
    <row r="6" spans="1:10" ht="15.75">
      <c r="A6" s="417" t="s">
        <v>589</v>
      </c>
      <c r="B6" s="418">
        <v>257480.57</v>
      </c>
      <c r="C6" s="411">
        <v>192469.74</v>
      </c>
      <c r="D6" s="419">
        <f t="shared" si="0"/>
        <v>449950.31</v>
      </c>
      <c r="E6" s="418">
        <v>418406.06</v>
      </c>
      <c r="F6" s="411">
        <v>0</v>
      </c>
      <c r="G6" s="419">
        <f t="shared" si="1"/>
        <v>418406.06</v>
      </c>
      <c r="H6" s="418">
        <f t="shared" si="2"/>
        <v>160925.49</v>
      </c>
      <c r="I6" s="411">
        <f t="shared" si="3"/>
        <v>-192469.74</v>
      </c>
      <c r="J6" s="419">
        <f t="shared" si="4"/>
        <v>-31544.25</v>
      </c>
    </row>
    <row r="7" spans="1:10" ht="15.75">
      <c r="A7" s="417" t="s">
        <v>590</v>
      </c>
      <c r="B7" s="418">
        <v>131049131.58</v>
      </c>
      <c r="C7" s="411">
        <v>23093850.4</v>
      </c>
      <c r="D7" s="419">
        <f t="shared" si="0"/>
        <v>154142981.98</v>
      </c>
      <c r="E7" s="418">
        <v>125035346.97</v>
      </c>
      <c r="F7" s="411">
        <v>20179691.4</v>
      </c>
      <c r="G7" s="419">
        <f t="shared" si="1"/>
        <v>145215038.37</v>
      </c>
      <c r="H7" s="418">
        <f t="shared" si="2"/>
        <v>-6013784.609999999</v>
      </c>
      <c r="I7" s="411">
        <f t="shared" si="3"/>
        <v>-2914159</v>
      </c>
      <c r="J7" s="419">
        <f t="shared" si="4"/>
        <v>-8927943.61</v>
      </c>
    </row>
    <row r="8" spans="1:10" ht="15.75">
      <c r="A8" s="417" t="s">
        <v>591</v>
      </c>
      <c r="B8" s="418">
        <v>281077173.23</v>
      </c>
      <c r="C8" s="411">
        <v>34426364.9</v>
      </c>
      <c r="D8" s="419">
        <f t="shared" si="0"/>
        <v>315503538.13</v>
      </c>
      <c r="E8" s="418">
        <v>393055806.01</v>
      </c>
      <c r="F8" s="411">
        <v>41342614.09</v>
      </c>
      <c r="G8" s="419">
        <f t="shared" si="1"/>
        <v>434398420.1</v>
      </c>
      <c r="H8" s="418">
        <f t="shared" si="2"/>
        <v>111978632.77999997</v>
      </c>
      <c r="I8" s="411">
        <f t="shared" si="3"/>
        <v>6916249.190000005</v>
      </c>
      <c r="J8" s="419">
        <f t="shared" si="4"/>
        <v>118894881.96999997</v>
      </c>
    </row>
    <row r="9" spans="1:10" ht="15.75">
      <c r="A9" s="417" t="s">
        <v>592</v>
      </c>
      <c r="B9" s="418">
        <v>196815870.67</v>
      </c>
      <c r="C9" s="411">
        <v>17115009.95</v>
      </c>
      <c r="D9" s="419">
        <f t="shared" si="0"/>
        <v>213930880.61999997</v>
      </c>
      <c r="E9" s="418">
        <v>218821693.74</v>
      </c>
      <c r="F9" s="411">
        <v>16508629.6</v>
      </c>
      <c r="G9" s="419">
        <f t="shared" si="1"/>
        <v>235330323.34</v>
      </c>
      <c r="H9" s="418">
        <f t="shared" si="2"/>
        <v>22005823.070000023</v>
      </c>
      <c r="I9" s="411">
        <f t="shared" si="3"/>
        <v>-606380.3499999996</v>
      </c>
      <c r="J9" s="419">
        <f t="shared" si="4"/>
        <v>21399442.72000002</v>
      </c>
    </row>
    <row r="10" spans="1:10" ht="15.75">
      <c r="A10" s="417" t="s">
        <v>593</v>
      </c>
      <c r="B10" s="418">
        <v>8549507.45</v>
      </c>
      <c r="C10" s="411">
        <v>3179058.18</v>
      </c>
      <c r="D10" s="419">
        <f t="shared" si="0"/>
        <v>11728565.629999999</v>
      </c>
      <c r="E10" s="418">
        <v>9309404.23</v>
      </c>
      <c r="F10" s="411">
        <v>3548979.42</v>
      </c>
      <c r="G10" s="419">
        <f t="shared" si="1"/>
        <v>12858383.65</v>
      </c>
      <c r="H10" s="418">
        <f t="shared" si="2"/>
        <v>759896.7800000012</v>
      </c>
      <c r="I10" s="411">
        <f t="shared" si="3"/>
        <v>369921.23999999976</v>
      </c>
      <c r="J10" s="419">
        <f t="shared" si="4"/>
        <v>1129818.020000001</v>
      </c>
    </row>
    <row r="11" spans="1:10" ht="15.75">
      <c r="A11" s="417" t="s">
        <v>594</v>
      </c>
      <c r="B11" s="418">
        <v>937193806.17</v>
      </c>
      <c r="C11" s="411">
        <v>141754244.09</v>
      </c>
      <c r="D11" s="419">
        <f t="shared" si="0"/>
        <v>1078948050.26</v>
      </c>
      <c r="E11" s="418">
        <v>948618625.94</v>
      </c>
      <c r="F11" s="411">
        <v>132544727.19</v>
      </c>
      <c r="G11" s="419">
        <f t="shared" si="1"/>
        <v>1081163353.13</v>
      </c>
      <c r="H11" s="418">
        <f t="shared" si="2"/>
        <v>11424819.7700001</v>
      </c>
      <c r="I11" s="411">
        <f t="shared" si="3"/>
        <v>-9209516.900000006</v>
      </c>
      <c r="J11" s="419">
        <f t="shared" si="4"/>
        <v>2215302.870000094</v>
      </c>
    </row>
    <row r="12" spans="1:10" ht="15.75">
      <c r="A12" s="417" t="s">
        <v>595</v>
      </c>
      <c r="B12" s="418">
        <v>5126727820.63</v>
      </c>
      <c r="C12" s="411">
        <v>248597463.67</v>
      </c>
      <c r="D12" s="419">
        <f t="shared" si="0"/>
        <v>5375325284.3</v>
      </c>
      <c r="E12" s="418">
        <v>5606636110.83</v>
      </c>
      <c r="F12" s="411">
        <v>251674275.96</v>
      </c>
      <c r="G12" s="419">
        <f t="shared" si="1"/>
        <v>5858310386.79</v>
      </c>
      <c r="H12" s="418">
        <f t="shared" si="2"/>
        <v>479908290.1999998</v>
      </c>
      <c r="I12" s="411">
        <f t="shared" si="3"/>
        <v>3076812.2900000215</v>
      </c>
      <c r="J12" s="419">
        <f t="shared" si="4"/>
        <v>482985102.48999983</v>
      </c>
    </row>
    <row r="13" spans="1:10" ht="15.75">
      <c r="A13" s="417" t="s">
        <v>596</v>
      </c>
      <c r="B13" s="418">
        <v>1805063847.74</v>
      </c>
      <c r="C13" s="411">
        <v>26950661.5</v>
      </c>
      <c r="D13" s="419">
        <f t="shared" si="0"/>
        <v>1832014509.24</v>
      </c>
      <c r="E13" s="418">
        <v>1947120820.96</v>
      </c>
      <c r="F13" s="411">
        <v>27765478.05</v>
      </c>
      <c r="G13" s="419">
        <f t="shared" si="1"/>
        <v>1974886299.01</v>
      </c>
      <c r="H13" s="418">
        <f t="shared" si="2"/>
        <v>142056973.22000003</v>
      </c>
      <c r="I13" s="411">
        <f t="shared" si="3"/>
        <v>814816.5500000007</v>
      </c>
      <c r="J13" s="419">
        <f t="shared" si="4"/>
        <v>142871789.77000004</v>
      </c>
    </row>
    <row r="14" spans="1:10" ht="15.75">
      <c r="A14" s="417" t="s">
        <v>597</v>
      </c>
      <c r="B14" s="418">
        <v>17850756.21</v>
      </c>
      <c r="C14" s="411">
        <v>3558826.06</v>
      </c>
      <c r="D14" s="419">
        <f t="shared" si="0"/>
        <v>21409582.27</v>
      </c>
      <c r="E14" s="418">
        <v>28356173.39</v>
      </c>
      <c r="F14" s="411">
        <v>2745032.71</v>
      </c>
      <c r="G14" s="419">
        <f t="shared" si="1"/>
        <v>31101206.1</v>
      </c>
      <c r="H14" s="418">
        <f t="shared" si="2"/>
        <v>10505417.18</v>
      </c>
      <c r="I14" s="411">
        <f t="shared" si="3"/>
        <v>-813793.3500000001</v>
      </c>
      <c r="J14" s="419">
        <f t="shared" si="4"/>
        <v>9691623.83</v>
      </c>
    </row>
    <row r="15" spans="1:10" ht="15.75">
      <c r="A15" s="417" t="s">
        <v>598</v>
      </c>
      <c r="B15" s="418">
        <v>184106726.29</v>
      </c>
      <c r="C15" s="411">
        <v>1236640.51</v>
      </c>
      <c r="D15" s="419">
        <f t="shared" si="0"/>
        <v>185343366.79999998</v>
      </c>
      <c r="E15" s="418">
        <v>177718058.79</v>
      </c>
      <c r="F15" s="411">
        <v>1585585.32</v>
      </c>
      <c r="G15" s="419">
        <f t="shared" si="1"/>
        <v>179303644.10999998</v>
      </c>
      <c r="H15" s="418">
        <f t="shared" si="2"/>
        <v>-6388667.5</v>
      </c>
      <c r="I15" s="411">
        <f t="shared" si="3"/>
        <v>348944.81000000006</v>
      </c>
      <c r="J15" s="419">
        <f t="shared" si="4"/>
        <v>-6039722.6899999995</v>
      </c>
    </row>
    <row r="16" spans="1:10" ht="15.75">
      <c r="A16" s="417" t="s">
        <v>599</v>
      </c>
      <c r="B16" s="418">
        <v>1645686.7</v>
      </c>
      <c r="C16" s="411">
        <v>8530</v>
      </c>
      <c r="D16" s="419">
        <f t="shared" si="0"/>
        <v>1654216.7</v>
      </c>
      <c r="E16" s="418">
        <v>3749832.5</v>
      </c>
      <c r="F16" s="411">
        <v>47249</v>
      </c>
      <c r="G16" s="419">
        <f t="shared" si="1"/>
        <v>3797081.5</v>
      </c>
      <c r="H16" s="418">
        <f t="shared" si="2"/>
        <v>2104145.8</v>
      </c>
      <c r="I16" s="411">
        <f t="shared" si="3"/>
        <v>38719</v>
      </c>
      <c r="J16" s="419">
        <f t="shared" si="4"/>
        <v>2142864.8</v>
      </c>
    </row>
    <row r="17" spans="1:10" ht="15.75">
      <c r="A17" s="417" t="s">
        <v>600</v>
      </c>
      <c r="B17" s="418">
        <v>9369</v>
      </c>
      <c r="C17" s="411">
        <v>130685</v>
      </c>
      <c r="D17" s="419">
        <f t="shared" si="0"/>
        <v>140054</v>
      </c>
      <c r="E17" s="418">
        <v>29900</v>
      </c>
      <c r="F17" s="411">
        <v>175982</v>
      </c>
      <c r="G17" s="419">
        <f t="shared" si="1"/>
        <v>205882</v>
      </c>
      <c r="H17" s="418">
        <f t="shared" si="2"/>
        <v>20531</v>
      </c>
      <c r="I17" s="411">
        <f t="shared" si="3"/>
        <v>45297</v>
      </c>
      <c r="J17" s="419">
        <f t="shared" si="4"/>
        <v>65828</v>
      </c>
    </row>
    <row r="18" spans="1:10" ht="15.75">
      <c r="A18" s="417" t="s">
        <v>601</v>
      </c>
      <c r="B18" s="418">
        <v>30812956.7</v>
      </c>
      <c r="C18" s="411">
        <v>11924701.5</v>
      </c>
      <c r="D18" s="419">
        <f t="shared" si="0"/>
        <v>42737658.2</v>
      </c>
      <c r="E18" s="418">
        <v>32117853.82</v>
      </c>
      <c r="F18" s="411">
        <v>11108061.34</v>
      </c>
      <c r="G18" s="419">
        <f t="shared" si="1"/>
        <v>43225915.16</v>
      </c>
      <c r="H18" s="418">
        <f t="shared" si="2"/>
        <v>1304897.120000001</v>
      </c>
      <c r="I18" s="411">
        <f t="shared" si="3"/>
        <v>-816640.1600000001</v>
      </c>
      <c r="J18" s="419">
        <f t="shared" si="4"/>
        <v>488256.9600000009</v>
      </c>
    </row>
    <row r="19" spans="1:10" ht="15.75">
      <c r="A19" s="417" t="s">
        <v>602</v>
      </c>
      <c r="B19" s="418">
        <v>14729892.97</v>
      </c>
      <c r="C19" s="411">
        <v>992184.14</v>
      </c>
      <c r="D19" s="419">
        <f t="shared" si="0"/>
        <v>15722077.110000001</v>
      </c>
      <c r="E19" s="418">
        <v>13098010.63</v>
      </c>
      <c r="F19" s="411">
        <v>2105552.4</v>
      </c>
      <c r="G19" s="419">
        <f t="shared" si="1"/>
        <v>15203563.030000001</v>
      </c>
      <c r="H19" s="418">
        <f t="shared" si="2"/>
        <v>-1631882.3399999999</v>
      </c>
      <c r="I19" s="411">
        <f t="shared" si="3"/>
        <v>1113368.2599999998</v>
      </c>
      <c r="J19" s="419">
        <f t="shared" si="4"/>
        <v>-518514.0800000001</v>
      </c>
    </row>
    <row r="20" spans="1:10" ht="15.75">
      <c r="A20" s="417" t="s">
        <v>624</v>
      </c>
      <c r="B20" s="418">
        <v>27100.26</v>
      </c>
      <c r="C20" s="411">
        <v>-10066.5</v>
      </c>
      <c r="D20" s="419">
        <f t="shared" si="0"/>
        <v>17033.76</v>
      </c>
      <c r="E20" s="418">
        <v>189768.8</v>
      </c>
      <c r="F20" s="411">
        <v>5960</v>
      </c>
      <c r="G20" s="419">
        <f t="shared" si="1"/>
        <v>195728.8</v>
      </c>
      <c r="H20" s="418">
        <f t="shared" si="2"/>
        <v>162668.53999999998</v>
      </c>
      <c r="I20" s="411">
        <f t="shared" si="3"/>
        <v>16026.5</v>
      </c>
      <c r="J20" s="419">
        <f t="shared" si="4"/>
        <v>178695.03999999998</v>
      </c>
    </row>
    <row r="21" spans="1:10" ht="15.75">
      <c r="A21" s="417" t="s">
        <v>604</v>
      </c>
      <c r="B21" s="418">
        <v>1661290.87</v>
      </c>
      <c r="C21" s="411">
        <v>259306.68</v>
      </c>
      <c r="D21" s="419">
        <f t="shared" si="0"/>
        <v>1920597.55</v>
      </c>
      <c r="E21" s="418">
        <v>1926354.2</v>
      </c>
      <c r="F21" s="411">
        <v>1367518.73</v>
      </c>
      <c r="G21" s="419">
        <f t="shared" si="1"/>
        <v>3293872.9299999997</v>
      </c>
      <c r="H21" s="418">
        <f t="shared" si="2"/>
        <v>265063.32999999984</v>
      </c>
      <c r="I21" s="411">
        <f t="shared" si="3"/>
        <v>1108212.05</v>
      </c>
      <c r="J21" s="419">
        <f t="shared" si="4"/>
        <v>1373275.38</v>
      </c>
    </row>
    <row r="22" spans="1:10" ht="15.75">
      <c r="A22" s="417" t="s">
        <v>625</v>
      </c>
      <c r="B22" s="418">
        <v>1666200.63</v>
      </c>
      <c r="C22" s="411">
        <v>1339124.34</v>
      </c>
      <c r="D22" s="419">
        <f t="shared" si="0"/>
        <v>3005324.9699999997</v>
      </c>
      <c r="E22" s="418">
        <v>1237440</v>
      </c>
      <c r="F22" s="411">
        <v>2089816.59</v>
      </c>
      <c r="G22" s="419">
        <f t="shared" si="1"/>
        <v>3327256.59</v>
      </c>
      <c r="H22" s="418">
        <f t="shared" si="2"/>
        <v>-428760.6299999999</v>
      </c>
      <c r="I22" s="411">
        <f t="shared" si="3"/>
        <v>750692.25</v>
      </c>
      <c r="J22" s="419">
        <f t="shared" si="4"/>
        <v>321931.6200000001</v>
      </c>
    </row>
    <row r="23" spans="1:10" ht="15.75">
      <c r="A23" s="417" t="s">
        <v>606</v>
      </c>
      <c r="B23" s="418">
        <v>2495639.86</v>
      </c>
      <c r="C23" s="411">
        <v>6361</v>
      </c>
      <c r="D23" s="419">
        <f t="shared" si="0"/>
        <v>2502000.86</v>
      </c>
      <c r="E23" s="418">
        <v>1356060.53</v>
      </c>
      <c r="F23" s="411">
        <v>283833.06</v>
      </c>
      <c r="G23" s="419">
        <f t="shared" si="1"/>
        <v>1639893.59</v>
      </c>
      <c r="H23" s="418">
        <f t="shared" si="2"/>
        <v>-1139579.3299999998</v>
      </c>
      <c r="I23" s="411">
        <f t="shared" si="3"/>
        <v>277472.06</v>
      </c>
      <c r="J23" s="419">
        <f t="shared" si="4"/>
        <v>-862107.2699999998</v>
      </c>
    </row>
    <row r="24" spans="1:10" ht="15.75">
      <c r="A24" s="417" t="s">
        <v>607</v>
      </c>
      <c r="B24" s="418">
        <v>11835027.97</v>
      </c>
      <c r="C24" s="411">
        <v>487408.81</v>
      </c>
      <c r="D24" s="419">
        <f t="shared" si="0"/>
        <v>12322436.780000001</v>
      </c>
      <c r="E24" s="418">
        <v>33271261.93</v>
      </c>
      <c r="F24" s="411">
        <v>804581.84</v>
      </c>
      <c r="G24" s="419">
        <f t="shared" si="1"/>
        <v>34075843.77</v>
      </c>
      <c r="H24" s="418">
        <f t="shared" si="2"/>
        <v>21436233.96</v>
      </c>
      <c r="I24" s="411">
        <f t="shared" si="3"/>
        <v>317173.02999999997</v>
      </c>
      <c r="J24" s="419">
        <f t="shared" si="4"/>
        <v>21753406.990000002</v>
      </c>
    </row>
    <row r="25" spans="1:10" ht="15.75">
      <c r="A25" s="417" t="s">
        <v>608</v>
      </c>
      <c r="B25" s="418">
        <v>891139.9</v>
      </c>
      <c r="C25" s="411">
        <v>114500</v>
      </c>
      <c r="D25" s="419">
        <f t="shared" si="0"/>
        <v>1005639.9</v>
      </c>
      <c r="E25" s="418">
        <v>759705.9</v>
      </c>
      <c r="F25" s="411">
        <v>259753.5</v>
      </c>
      <c r="G25" s="419">
        <f t="shared" si="1"/>
        <v>1019459.4</v>
      </c>
      <c r="H25" s="418">
        <f t="shared" si="2"/>
        <v>-131434</v>
      </c>
      <c r="I25" s="411">
        <f t="shared" si="3"/>
        <v>145253.5</v>
      </c>
      <c r="J25" s="419">
        <f t="shared" si="4"/>
        <v>13819.5</v>
      </c>
    </row>
    <row r="26" spans="1:10" ht="17.25" customHeight="1">
      <c r="A26" s="417" t="s">
        <v>609</v>
      </c>
      <c r="B26" s="418">
        <v>12982.9</v>
      </c>
      <c r="C26" s="411">
        <v>99670.38</v>
      </c>
      <c r="D26" s="419">
        <f t="shared" si="0"/>
        <v>112653.28</v>
      </c>
      <c r="E26" s="418">
        <v>0</v>
      </c>
      <c r="F26" s="411">
        <v>119823.94</v>
      </c>
      <c r="G26" s="419">
        <f t="shared" si="1"/>
        <v>119823.94</v>
      </c>
      <c r="H26" s="418">
        <f t="shared" si="2"/>
        <v>-12982.9</v>
      </c>
      <c r="I26" s="411">
        <f t="shared" si="3"/>
        <v>20153.559999999998</v>
      </c>
      <c r="J26" s="419">
        <f t="shared" si="4"/>
        <v>7170.659999999998</v>
      </c>
    </row>
    <row r="27" spans="1:10" ht="15.75">
      <c r="A27" s="417" t="s">
        <v>610</v>
      </c>
      <c r="B27" s="418">
        <v>2785195.81</v>
      </c>
      <c r="C27" s="411">
        <v>445075.86</v>
      </c>
      <c r="D27" s="419">
        <f t="shared" si="0"/>
        <v>3230271.67</v>
      </c>
      <c r="E27" s="418">
        <v>1679980.49</v>
      </c>
      <c r="F27" s="411">
        <v>178303.26</v>
      </c>
      <c r="G27" s="419">
        <f t="shared" si="1"/>
        <v>1858283.75</v>
      </c>
      <c r="H27" s="418">
        <f t="shared" si="2"/>
        <v>-1105215.32</v>
      </c>
      <c r="I27" s="411">
        <f t="shared" si="3"/>
        <v>-266772.6</v>
      </c>
      <c r="J27" s="419">
        <f t="shared" si="4"/>
        <v>-1371987.92</v>
      </c>
    </row>
    <row r="28" spans="1:10" ht="15.75">
      <c r="A28" s="417" t="s">
        <v>611</v>
      </c>
      <c r="B28" s="418">
        <v>619158323.57</v>
      </c>
      <c r="C28" s="411">
        <v>11656111.79</v>
      </c>
      <c r="D28" s="419">
        <f t="shared" si="0"/>
        <v>630814435.36</v>
      </c>
      <c r="E28" s="418">
        <v>956835910.35</v>
      </c>
      <c r="F28" s="411">
        <v>19088945.98</v>
      </c>
      <c r="G28" s="419">
        <f t="shared" si="1"/>
        <v>975924856.33</v>
      </c>
      <c r="H28" s="418">
        <f t="shared" si="2"/>
        <v>337677586.78</v>
      </c>
      <c r="I28" s="411">
        <f t="shared" si="3"/>
        <v>7432834.190000001</v>
      </c>
      <c r="J28" s="419">
        <f t="shared" si="4"/>
        <v>345110420.96999997</v>
      </c>
    </row>
    <row r="29" spans="1:10" ht="15.75">
      <c r="A29" s="417" t="s">
        <v>626</v>
      </c>
      <c r="B29" s="418">
        <v>571824479.07</v>
      </c>
      <c r="C29" s="411">
        <v>16283388.71</v>
      </c>
      <c r="D29" s="419">
        <f t="shared" si="0"/>
        <v>588107867.7800001</v>
      </c>
      <c r="E29" s="418">
        <v>609534398.21</v>
      </c>
      <c r="F29" s="411">
        <v>17461311.15</v>
      </c>
      <c r="G29" s="419">
        <f t="shared" si="1"/>
        <v>626995709.36</v>
      </c>
      <c r="H29" s="418">
        <f t="shared" si="2"/>
        <v>37709919.139999986</v>
      </c>
      <c r="I29" s="411">
        <f t="shared" si="3"/>
        <v>1177922.4399999976</v>
      </c>
      <c r="J29" s="419">
        <f t="shared" si="4"/>
        <v>38887841.57999998</v>
      </c>
    </row>
    <row r="30" spans="1:10" ht="31.5">
      <c r="A30" s="417" t="s">
        <v>627</v>
      </c>
      <c r="B30" s="418">
        <v>86964975.18</v>
      </c>
      <c r="C30" s="411">
        <v>175366.02</v>
      </c>
      <c r="D30" s="419">
        <f t="shared" si="0"/>
        <v>87140341.2</v>
      </c>
      <c r="E30" s="418">
        <v>81757625.95</v>
      </c>
      <c r="F30" s="411">
        <v>0</v>
      </c>
      <c r="G30" s="419">
        <f t="shared" si="1"/>
        <v>81757625.95</v>
      </c>
      <c r="H30" s="418">
        <f t="shared" si="2"/>
        <v>-5207349.230000004</v>
      </c>
      <c r="I30" s="411">
        <f t="shared" si="3"/>
        <v>-175366.02</v>
      </c>
      <c r="J30" s="419">
        <f t="shared" si="4"/>
        <v>-5382715.250000004</v>
      </c>
    </row>
    <row r="31" spans="1:10" ht="15.75">
      <c r="A31" s="417" t="s">
        <v>628</v>
      </c>
      <c r="B31" s="418">
        <v>500000</v>
      </c>
      <c r="C31" s="411">
        <v>0</v>
      </c>
      <c r="D31" s="419">
        <f t="shared" si="0"/>
        <v>500000</v>
      </c>
      <c r="E31" s="418">
        <v>47000</v>
      </c>
      <c r="F31" s="411">
        <v>0</v>
      </c>
      <c r="G31" s="419">
        <f t="shared" si="1"/>
        <v>47000</v>
      </c>
      <c r="H31" s="418">
        <f t="shared" si="2"/>
        <v>-453000</v>
      </c>
      <c r="I31" s="411">
        <f t="shared" si="3"/>
        <v>0</v>
      </c>
      <c r="J31" s="419">
        <f t="shared" si="4"/>
        <v>-453000</v>
      </c>
    </row>
    <row r="32" spans="1:10" ht="15.75">
      <c r="A32" s="417" t="s">
        <v>615</v>
      </c>
      <c r="B32" s="418">
        <v>34531.5</v>
      </c>
      <c r="C32" s="411">
        <v>6259.37</v>
      </c>
      <c r="D32" s="419">
        <f t="shared" si="0"/>
        <v>40790.87</v>
      </c>
      <c r="E32" s="418">
        <v>3645.06</v>
      </c>
      <c r="F32" s="411">
        <v>0</v>
      </c>
      <c r="G32" s="419">
        <f t="shared" si="1"/>
        <v>3645.06</v>
      </c>
      <c r="H32" s="418">
        <f t="shared" si="2"/>
        <v>-30886.44</v>
      </c>
      <c r="I32" s="411">
        <f t="shared" si="3"/>
        <v>-6259.37</v>
      </c>
      <c r="J32" s="419">
        <f t="shared" si="4"/>
        <v>-37145.81</v>
      </c>
    </row>
    <row r="33" spans="1:10" ht="15.75">
      <c r="A33" s="417" t="s">
        <v>616</v>
      </c>
      <c r="B33" s="418">
        <v>2238507.69</v>
      </c>
      <c r="C33" s="411">
        <v>611193.71</v>
      </c>
      <c r="D33" s="419">
        <f t="shared" si="0"/>
        <v>2849701.4</v>
      </c>
      <c r="E33" s="418">
        <v>1806819</v>
      </c>
      <c r="F33" s="411">
        <v>851677.06</v>
      </c>
      <c r="G33" s="419">
        <f t="shared" si="1"/>
        <v>2658496.06</v>
      </c>
      <c r="H33" s="418">
        <f t="shared" si="2"/>
        <v>-431688.68999999994</v>
      </c>
      <c r="I33" s="411">
        <f t="shared" si="3"/>
        <v>240483.3500000001</v>
      </c>
      <c r="J33" s="419">
        <f t="shared" si="4"/>
        <v>-191205.33999999985</v>
      </c>
    </row>
    <row r="34" spans="1:10" ht="15.75">
      <c r="A34" s="417" t="s">
        <v>617</v>
      </c>
      <c r="B34" s="418">
        <v>0</v>
      </c>
      <c r="C34" s="411">
        <v>0</v>
      </c>
      <c r="D34" s="419">
        <f t="shared" si="0"/>
        <v>0</v>
      </c>
      <c r="E34" s="418">
        <v>0</v>
      </c>
      <c r="F34" s="411">
        <v>0</v>
      </c>
      <c r="G34" s="419">
        <f t="shared" si="1"/>
        <v>0</v>
      </c>
      <c r="H34" s="418">
        <f t="shared" si="2"/>
        <v>0</v>
      </c>
      <c r="I34" s="411">
        <f t="shared" si="3"/>
        <v>0</v>
      </c>
      <c r="J34" s="419">
        <f t="shared" si="4"/>
        <v>0</v>
      </c>
    </row>
    <row r="35" spans="1:10" ht="15.75">
      <c r="A35" s="417" t="s">
        <v>618</v>
      </c>
      <c r="B35" s="418"/>
      <c r="C35" s="411">
        <v>3516976.51</v>
      </c>
      <c r="D35" s="419">
        <f t="shared" si="0"/>
        <v>3516976.51</v>
      </c>
      <c r="E35" s="418"/>
      <c r="F35" s="411">
        <v>11322575.54</v>
      </c>
      <c r="G35" s="419">
        <f t="shared" si="1"/>
        <v>11322575.54</v>
      </c>
      <c r="H35" s="418">
        <f t="shared" si="2"/>
        <v>0</v>
      </c>
      <c r="I35" s="411">
        <f t="shared" si="3"/>
        <v>7805599.029999999</v>
      </c>
      <c r="J35" s="419">
        <f t="shared" si="4"/>
        <v>7805599.029999999</v>
      </c>
    </row>
    <row r="36" spans="1:10" ht="15.75">
      <c r="A36" s="417" t="s">
        <v>629</v>
      </c>
      <c r="B36" s="418">
        <v>0</v>
      </c>
      <c r="C36" s="411">
        <v>0</v>
      </c>
      <c r="D36" s="419">
        <f t="shared" si="0"/>
        <v>0</v>
      </c>
      <c r="E36" s="418">
        <v>0</v>
      </c>
      <c r="F36" s="411">
        <v>0</v>
      </c>
      <c r="G36" s="419">
        <f t="shared" si="1"/>
        <v>0</v>
      </c>
      <c r="H36" s="418">
        <f t="shared" si="2"/>
        <v>0</v>
      </c>
      <c r="I36" s="411">
        <f t="shared" si="3"/>
        <v>0</v>
      </c>
      <c r="J36" s="419">
        <f t="shared" si="4"/>
        <v>0</v>
      </c>
    </row>
    <row r="37" spans="1:10" ht="15.75">
      <c r="A37" s="417" t="s">
        <v>630</v>
      </c>
      <c r="B37" s="418">
        <v>211755528.38</v>
      </c>
      <c r="C37" s="411">
        <v>175000</v>
      </c>
      <c r="D37" s="419">
        <f t="shared" si="0"/>
        <v>211930528.38</v>
      </c>
      <c r="E37" s="418">
        <v>86818181.23</v>
      </c>
      <c r="F37" s="411">
        <v>896000</v>
      </c>
      <c r="G37" s="419">
        <f t="shared" si="1"/>
        <v>87714181.23</v>
      </c>
      <c r="H37" s="418">
        <f t="shared" si="2"/>
        <v>-124937347.14999999</v>
      </c>
      <c r="I37" s="411">
        <f t="shared" si="3"/>
        <v>721000</v>
      </c>
      <c r="J37" s="419">
        <f t="shared" si="4"/>
        <v>-124216347.14999999</v>
      </c>
    </row>
    <row r="38" spans="1:10" ht="15.75">
      <c r="A38" s="417" t="s">
        <v>621</v>
      </c>
      <c r="B38" s="418">
        <v>0</v>
      </c>
      <c r="C38" s="411">
        <v>0</v>
      </c>
      <c r="D38" s="419">
        <f t="shared" si="0"/>
        <v>0</v>
      </c>
      <c r="E38" s="418">
        <v>3611373.09</v>
      </c>
      <c r="F38" s="411">
        <v>0</v>
      </c>
      <c r="G38" s="419">
        <f t="shared" si="1"/>
        <v>3611373.09</v>
      </c>
      <c r="H38" s="418">
        <f t="shared" si="2"/>
        <v>3611373.09</v>
      </c>
      <c r="I38" s="411">
        <f t="shared" si="3"/>
        <v>0</v>
      </c>
      <c r="J38" s="419">
        <f t="shared" si="4"/>
        <v>3611373.09</v>
      </c>
    </row>
    <row r="39" spans="1:10" ht="15.75">
      <c r="A39" s="421" t="s">
        <v>631</v>
      </c>
      <c r="B39" s="418">
        <v>11188400.73</v>
      </c>
      <c r="C39" s="411">
        <v>14046362.14</v>
      </c>
      <c r="D39" s="419">
        <f t="shared" si="0"/>
        <v>25234762.87</v>
      </c>
      <c r="E39" s="418">
        <v>31683088.37</v>
      </c>
      <c r="F39" s="411">
        <v>20809726.75</v>
      </c>
      <c r="G39" s="419">
        <f t="shared" si="1"/>
        <v>52492815.120000005</v>
      </c>
      <c r="H39" s="418">
        <f t="shared" si="2"/>
        <v>20494687.64</v>
      </c>
      <c r="I39" s="411">
        <f t="shared" si="3"/>
        <v>6763364.609999999</v>
      </c>
      <c r="J39" s="419">
        <f t="shared" si="4"/>
        <v>27258052.25</v>
      </c>
    </row>
    <row r="40" spans="1:10" ht="15.75">
      <c r="A40" s="421" t="s">
        <v>632</v>
      </c>
      <c r="B40" s="418"/>
      <c r="C40" s="411"/>
      <c r="D40" s="419"/>
      <c r="E40" s="418">
        <v>-366.08</v>
      </c>
      <c r="F40" s="411">
        <v>812228.36</v>
      </c>
      <c r="G40" s="419">
        <f t="shared" si="1"/>
        <v>811862.28</v>
      </c>
      <c r="H40" s="418">
        <f t="shared" si="2"/>
        <v>-366.08</v>
      </c>
      <c r="I40" s="411">
        <f t="shared" si="3"/>
        <v>812228.36</v>
      </c>
      <c r="J40" s="419">
        <f t="shared" si="4"/>
        <v>811862.28</v>
      </c>
    </row>
    <row r="41" spans="1:10" ht="24" customHeight="1">
      <c r="A41" s="422" t="s">
        <v>155</v>
      </c>
      <c r="B41" s="423">
        <f>SUM(B4:B40)</f>
        <v>11877867796.88</v>
      </c>
      <c r="C41" s="423">
        <f>SUM(C4:C40)</f>
        <v>698673643.0299999</v>
      </c>
      <c r="D41" s="423">
        <f>B41+C41</f>
        <v>12576541439.91</v>
      </c>
      <c r="E41" s="423">
        <f>SUM(E4:E40)</f>
        <v>13096155221.890001</v>
      </c>
      <c r="F41" s="423">
        <f>SUM(F4:F40)</f>
        <v>738485413.0600001</v>
      </c>
      <c r="G41" s="423">
        <f>SUM(G4:G40)</f>
        <v>13834640634.950005</v>
      </c>
      <c r="H41" s="423">
        <f>SUM(H4:H40)</f>
        <v>1218287425.0099998</v>
      </c>
      <c r="I41" s="423">
        <f>SUM(I4:I40)</f>
        <v>39811770.030000016</v>
      </c>
      <c r="J41" s="423">
        <f t="shared" si="4"/>
        <v>1258099195.0399997</v>
      </c>
    </row>
    <row r="42" ht="15.75">
      <c r="E42" s="424"/>
    </row>
  </sheetData>
  <mergeCells count="5">
    <mergeCell ref="A1:J1"/>
    <mergeCell ref="B2:D2"/>
    <mergeCell ref="H2:J2"/>
    <mergeCell ref="A2:A3"/>
    <mergeCell ref="E2:G2"/>
  </mergeCells>
  <printOptions horizontalCentered="1"/>
  <pageMargins left="0.52" right="0.44" top="0.7" bottom="0.47" header="0.7" footer="0.5118110236220472"/>
  <pageSetup fitToHeight="1" fitToWidth="1" horizontalDpi="600" verticalDpi="600" orientation="landscape" paperSize="9" scale="63" r:id="rId1"/>
</worksheet>
</file>

<file path=xl/worksheets/sheet36.xml><?xml version="1.0" encoding="utf-8"?>
<worksheet xmlns="http://schemas.openxmlformats.org/spreadsheetml/2006/main" xmlns:r="http://schemas.openxmlformats.org/officeDocument/2006/relationships">
  <sheetPr>
    <tabColor indexed="11"/>
    <pageSetUpPr fitToPage="1"/>
  </sheetPr>
  <dimension ref="A1:L23"/>
  <sheetViews>
    <sheetView zoomScaleSheetLayoutView="100" workbookViewId="0" topLeftCell="A1">
      <pane xSplit="1" ySplit="2" topLeftCell="B3" activePane="bottomRight" state="frozen"/>
      <selection pane="topLeft" activeCell="D45" sqref="D45"/>
      <selection pane="topRight" activeCell="D45" sqref="D45"/>
      <selection pane="bottomLeft" activeCell="D45" sqref="D45"/>
      <selection pane="bottomRight" activeCell="D17" sqref="D17"/>
    </sheetView>
  </sheetViews>
  <sheetFormatPr defaultColWidth="9.140625" defaultRowHeight="12.75"/>
  <cols>
    <col min="1" max="1" width="18.57421875" style="402" customWidth="1"/>
    <col min="2" max="2" width="16.421875" style="431" customWidth="1"/>
    <col min="3" max="3" width="17.00390625" style="431" customWidth="1"/>
    <col min="4" max="4" width="14.8515625" style="431" customWidth="1"/>
    <col min="5" max="5" width="14.8515625" style="432" customWidth="1"/>
    <col min="6" max="6" width="15.140625" style="433" customWidth="1"/>
    <col min="7" max="7" width="14.7109375" style="388" customWidth="1"/>
    <col min="8" max="8" width="16.57421875" style="433" customWidth="1"/>
    <col min="9" max="9" width="16.28125" style="388" customWidth="1"/>
    <col min="10" max="10" width="15.7109375" style="388" customWidth="1"/>
    <col min="11" max="12" width="22.28125" style="388" bestFit="1" customWidth="1"/>
    <col min="13" max="16384" width="9.140625" style="388" customWidth="1"/>
  </cols>
  <sheetData>
    <row r="1" spans="1:10" ht="52.5" customHeight="1">
      <c r="A1" s="609" t="s">
        <v>649</v>
      </c>
      <c r="B1" s="609"/>
      <c r="C1" s="609"/>
      <c r="D1" s="609"/>
      <c r="E1" s="609"/>
      <c r="F1" s="609"/>
      <c r="G1" s="609"/>
      <c r="H1" s="609"/>
      <c r="I1" s="609"/>
      <c r="J1" s="609"/>
    </row>
    <row r="2" spans="1:10" s="425" customFormat="1" ht="79.5" customHeight="1">
      <c r="A2" s="524" t="s">
        <v>154</v>
      </c>
      <c r="B2" s="511" t="s">
        <v>633</v>
      </c>
      <c r="C2" s="511" t="s">
        <v>634</v>
      </c>
      <c r="D2" s="511" t="s">
        <v>635</v>
      </c>
      <c r="E2" s="511" t="s">
        <v>544</v>
      </c>
      <c r="F2" s="511" t="s">
        <v>585</v>
      </c>
      <c r="G2" s="524" t="s">
        <v>636</v>
      </c>
      <c r="H2" s="511" t="s">
        <v>545</v>
      </c>
      <c r="I2" s="524" t="s">
        <v>586</v>
      </c>
      <c r="J2" s="524" t="s">
        <v>637</v>
      </c>
    </row>
    <row r="3" spans="1:10" ht="15.75">
      <c r="A3" s="543" t="s">
        <v>60</v>
      </c>
      <c r="B3" s="426">
        <v>3062329289.48</v>
      </c>
      <c r="C3" s="426">
        <f>3064942353.34+34742.3</f>
        <v>3064977095.6400003</v>
      </c>
      <c r="D3" s="426">
        <f aca="true" t="shared" si="0" ref="D3:D22">B3-C3</f>
        <v>-2647806.1600003242</v>
      </c>
      <c r="E3" s="426">
        <v>94735160.12</v>
      </c>
      <c r="F3" s="426">
        <f>85201375.09+780778.47</f>
        <v>85982153.56</v>
      </c>
      <c r="G3" s="426">
        <f aca="true" t="shared" si="1" ref="G3:G22">E3-F3</f>
        <v>8753006.560000002</v>
      </c>
      <c r="H3" s="426">
        <f aca="true" t="shared" si="2" ref="H3:H22">B3+E3</f>
        <v>3157064449.6</v>
      </c>
      <c r="I3" s="426">
        <f aca="true" t="shared" si="3" ref="I3:I22">C3+F3</f>
        <v>3150959249.2000003</v>
      </c>
      <c r="J3" s="426">
        <f aca="true" t="shared" si="4" ref="J3:J22">H3-I3</f>
        <v>6105200.3999996185</v>
      </c>
    </row>
    <row r="4" spans="1:10" ht="15.75">
      <c r="A4" s="543" t="s">
        <v>78</v>
      </c>
      <c r="B4" s="426">
        <v>699311875.19</v>
      </c>
      <c r="C4" s="426">
        <f>699040658.27+804500.42</f>
        <v>699845158.6899999</v>
      </c>
      <c r="D4" s="426">
        <f t="shared" si="0"/>
        <v>-533283.4999998808</v>
      </c>
      <c r="E4" s="426">
        <v>28112717.36</v>
      </c>
      <c r="F4" s="426">
        <f>26253621.6+478677</f>
        <v>26732298.6</v>
      </c>
      <c r="G4" s="426">
        <f t="shared" si="1"/>
        <v>1380418.759999998</v>
      </c>
      <c r="H4" s="426">
        <f t="shared" si="2"/>
        <v>727424592.5500001</v>
      </c>
      <c r="I4" s="426">
        <f t="shared" si="3"/>
        <v>726577457.29</v>
      </c>
      <c r="J4" s="426">
        <f t="shared" si="4"/>
        <v>847135.2600001097</v>
      </c>
    </row>
    <row r="5" spans="1:10" ht="15.75">
      <c r="A5" s="543" t="s">
        <v>80</v>
      </c>
      <c r="B5" s="426">
        <v>551945489.91</v>
      </c>
      <c r="C5" s="426">
        <f>551470971.32+304220.14</f>
        <v>551775191.46</v>
      </c>
      <c r="D5" s="426">
        <f t="shared" si="0"/>
        <v>170298.44999992847</v>
      </c>
      <c r="E5" s="426">
        <v>10126415.56</v>
      </c>
      <c r="F5" s="426">
        <f>9443456.49+31563</f>
        <v>9475019.49</v>
      </c>
      <c r="G5" s="426">
        <f t="shared" si="1"/>
        <v>651396.0700000003</v>
      </c>
      <c r="H5" s="426">
        <f t="shared" si="2"/>
        <v>562071905.4699999</v>
      </c>
      <c r="I5" s="426">
        <f t="shared" si="3"/>
        <v>561250210.95</v>
      </c>
      <c r="J5" s="426">
        <f t="shared" si="4"/>
        <v>821694.5199998617</v>
      </c>
    </row>
    <row r="6" spans="1:10" ht="15.75">
      <c r="A6" s="543" t="s">
        <v>87</v>
      </c>
      <c r="B6" s="426">
        <v>151482874.54</v>
      </c>
      <c r="C6" s="426">
        <v>158493048.75</v>
      </c>
      <c r="D6" s="426">
        <f t="shared" si="0"/>
        <v>-7010174.210000008</v>
      </c>
      <c r="E6" s="426">
        <v>1006710.56</v>
      </c>
      <c r="F6" s="426">
        <f>561197.77+57391</f>
        <v>618588.77</v>
      </c>
      <c r="G6" s="426">
        <f t="shared" si="1"/>
        <v>388121.79000000004</v>
      </c>
      <c r="H6" s="426">
        <f t="shared" si="2"/>
        <v>152489585.1</v>
      </c>
      <c r="I6" s="426">
        <f t="shared" si="3"/>
        <v>159111637.52</v>
      </c>
      <c r="J6" s="426">
        <f t="shared" si="4"/>
        <v>-6622052.420000017</v>
      </c>
    </row>
    <row r="7" spans="1:10" ht="15.75">
      <c r="A7" s="543" t="s">
        <v>90</v>
      </c>
      <c r="B7" s="426">
        <v>299367375.06</v>
      </c>
      <c r="C7" s="426">
        <f>303516938.09+0</f>
        <v>303516938.09</v>
      </c>
      <c r="D7" s="426">
        <f t="shared" si="0"/>
        <v>-4149563.0299999714</v>
      </c>
      <c r="E7" s="426">
        <v>15425757.81</v>
      </c>
      <c r="F7" s="426">
        <v>8616824.35</v>
      </c>
      <c r="G7" s="426">
        <f t="shared" si="1"/>
        <v>6808933.460000001</v>
      </c>
      <c r="H7" s="426">
        <f t="shared" si="2"/>
        <v>314793132.87</v>
      </c>
      <c r="I7" s="426">
        <f t="shared" si="3"/>
        <v>312133762.44</v>
      </c>
      <c r="J7" s="426">
        <f t="shared" si="4"/>
        <v>2659370.430000007</v>
      </c>
    </row>
    <row r="8" spans="1:10" ht="15.75">
      <c r="A8" s="543" t="s">
        <v>91</v>
      </c>
      <c r="B8" s="426">
        <v>575260026.7</v>
      </c>
      <c r="C8" s="426">
        <f>565952901.71+168099.18</f>
        <v>566121000.89</v>
      </c>
      <c r="D8" s="426">
        <f t="shared" si="0"/>
        <v>9139025.810000062</v>
      </c>
      <c r="E8" s="426">
        <v>16906177.74</v>
      </c>
      <c r="F8" s="426">
        <f>16188450.06+58007</f>
        <v>16246457.06</v>
      </c>
      <c r="G8" s="426">
        <f t="shared" si="1"/>
        <v>659720.6799999978</v>
      </c>
      <c r="H8" s="426">
        <f t="shared" si="2"/>
        <v>592166204.44</v>
      </c>
      <c r="I8" s="426">
        <f t="shared" si="3"/>
        <v>582367457.9499999</v>
      </c>
      <c r="J8" s="426">
        <f t="shared" si="4"/>
        <v>9798746.490000129</v>
      </c>
    </row>
    <row r="9" spans="1:10" ht="15.75">
      <c r="A9" s="543" t="s">
        <v>638</v>
      </c>
      <c r="B9" s="426">
        <v>589693779.31</v>
      </c>
      <c r="C9" s="426">
        <f>618149414.69+11130.74</f>
        <v>618160545.4300001</v>
      </c>
      <c r="D9" s="426">
        <f t="shared" si="0"/>
        <v>-28466766.120000124</v>
      </c>
      <c r="E9" s="426">
        <v>38977247.46</v>
      </c>
      <c r="F9" s="426">
        <f>29366883.79+1951393</f>
        <v>31318276.79</v>
      </c>
      <c r="G9" s="426">
        <f t="shared" si="1"/>
        <v>7658970.670000002</v>
      </c>
      <c r="H9" s="426">
        <f t="shared" si="2"/>
        <v>628671026.77</v>
      </c>
      <c r="I9" s="426">
        <f t="shared" si="3"/>
        <v>649478822.22</v>
      </c>
      <c r="J9" s="426">
        <f t="shared" si="4"/>
        <v>-20807795.450000048</v>
      </c>
    </row>
    <row r="10" spans="1:10" ht="15.75">
      <c r="A10" s="543" t="s">
        <v>98</v>
      </c>
      <c r="B10" s="426">
        <v>344059822.87</v>
      </c>
      <c r="C10" s="426">
        <f>339808739.6+528.79</f>
        <v>339809268.39000005</v>
      </c>
      <c r="D10" s="426">
        <f t="shared" si="0"/>
        <v>4250554.4799999595</v>
      </c>
      <c r="E10" s="426">
        <v>3564900.97</v>
      </c>
      <c r="F10" s="426">
        <f>2870699.48+126308</f>
        <v>2997007.48</v>
      </c>
      <c r="G10" s="426">
        <f t="shared" si="1"/>
        <v>567893.4900000002</v>
      </c>
      <c r="H10" s="426">
        <f t="shared" si="2"/>
        <v>347624723.84000003</v>
      </c>
      <c r="I10" s="426">
        <f t="shared" si="3"/>
        <v>342806275.87000006</v>
      </c>
      <c r="J10" s="426">
        <f t="shared" si="4"/>
        <v>4818447.969999969</v>
      </c>
    </row>
    <row r="11" spans="1:10" ht="15.75">
      <c r="A11" s="543" t="s">
        <v>101</v>
      </c>
      <c r="B11" s="426">
        <v>1995498229.69</v>
      </c>
      <c r="C11" s="426">
        <f>1944221901.5+11173660-366.08</f>
        <v>1955395195.42</v>
      </c>
      <c r="D11" s="426">
        <f t="shared" si="0"/>
        <v>40103034.26999998</v>
      </c>
      <c r="E11" s="426">
        <v>236079661.79</v>
      </c>
      <c r="F11" s="426">
        <f>196383591.23+5958419.58+366.36</f>
        <v>202342377.17000002</v>
      </c>
      <c r="G11" s="426">
        <f t="shared" si="1"/>
        <v>33737284.619999975</v>
      </c>
      <c r="H11" s="426">
        <f t="shared" si="2"/>
        <v>2231577891.48</v>
      </c>
      <c r="I11" s="426">
        <f t="shared" si="3"/>
        <v>2157737572.59</v>
      </c>
      <c r="J11" s="426">
        <f t="shared" si="4"/>
        <v>73840318.88999987</v>
      </c>
    </row>
    <row r="12" spans="1:10" ht="15.75">
      <c r="A12" s="543" t="s">
        <v>106</v>
      </c>
      <c r="B12" s="426">
        <v>1096542725.93</v>
      </c>
      <c r="C12" s="426">
        <f>1091223319.12+62068.96</f>
        <v>1091285388.08</v>
      </c>
      <c r="D12" s="426">
        <f t="shared" si="0"/>
        <v>5257337.850000143</v>
      </c>
      <c r="E12" s="426">
        <v>99840734.26</v>
      </c>
      <c r="F12" s="426">
        <f>100596253.9+747049</f>
        <v>101343302.9</v>
      </c>
      <c r="G12" s="426">
        <f t="shared" si="1"/>
        <v>-1502568.6400000006</v>
      </c>
      <c r="H12" s="426">
        <f t="shared" si="2"/>
        <v>1196383460.19</v>
      </c>
      <c r="I12" s="426">
        <f t="shared" si="3"/>
        <v>1192628690.98</v>
      </c>
      <c r="J12" s="426">
        <f t="shared" si="4"/>
        <v>3754769.210000038</v>
      </c>
    </row>
    <row r="13" spans="1:10" ht="15.75">
      <c r="A13" s="543" t="s">
        <v>111</v>
      </c>
      <c r="B13" s="426">
        <v>935180591.54</v>
      </c>
      <c r="C13" s="426">
        <f>844352768.35+15741540</f>
        <v>860094308.35</v>
      </c>
      <c r="D13" s="426">
        <f t="shared" si="0"/>
        <v>75086283.18999994</v>
      </c>
      <c r="E13" s="426">
        <v>203963178.4</v>
      </c>
      <c r="F13" s="426">
        <f>185273342.52+8169195.7+811862</f>
        <v>194254400.22</v>
      </c>
      <c r="G13" s="426">
        <f t="shared" si="1"/>
        <v>9708778.180000007</v>
      </c>
      <c r="H13" s="426">
        <f t="shared" si="2"/>
        <v>1139143769.94</v>
      </c>
      <c r="I13" s="426">
        <f t="shared" si="3"/>
        <v>1054348708.57</v>
      </c>
      <c r="J13" s="426">
        <f t="shared" si="4"/>
        <v>84795061.37</v>
      </c>
    </row>
    <row r="14" spans="1:10" ht="15.75">
      <c r="A14" s="543" t="s">
        <v>115</v>
      </c>
      <c r="B14" s="426">
        <v>245541450.12</v>
      </c>
      <c r="C14" s="426">
        <f>245385088.91+4817.44</f>
        <v>245389906.35</v>
      </c>
      <c r="D14" s="426">
        <f t="shared" si="0"/>
        <v>151543.77000001073</v>
      </c>
      <c r="E14" s="426">
        <v>4702530.95</v>
      </c>
      <c r="F14" s="426">
        <f>4673645.35+26458</f>
        <v>4700103.35</v>
      </c>
      <c r="G14" s="426">
        <f t="shared" si="1"/>
        <v>2427.600000000559</v>
      </c>
      <c r="H14" s="426">
        <f t="shared" si="2"/>
        <v>250243981.07</v>
      </c>
      <c r="I14" s="426">
        <f t="shared" si="3"/>
        <v>250090009.7</v>
      </c>
      <c r="J14" s="426">
        <f t="shared" si="4"/>
        <v>153971.37000000477</v>
      </c>
    </row>
    <row r="15" spans="1:10" ht="15.75">
      <c r="A15" s="543" t="s">
        <v>120</v>
      </c>
      <c r="B15" s="426">
        <v>691331472.9</v>
      </c>
      <c r="C15" s="426">
        <f>676145385.11+2766714</f>
        <v>678912099.11</v>
      </c>
      <c r="D15" s="426">
        <f t="shared" si="0"/>
        <v>12419373.789999962</v>
      </c>
      <c r="E15" s="426">
        <v>19797304.78</v>
      </c>
      <c r="F15" s="426">
        <v>19360292.47</v>
      </c>
      <c r="G15" s="426">
        <f t="shared" si="1"/>
        <v>437012.3100000024</v>
      </c>
      <c r="H15" s="426">
        <f t="shared" si="2"/>
        <v>711128777.68</v>
      </c>
      <c r="I15" s="426">
        <f t="shared" si="3"/>
        <v>698272391.58</v>
      </c>
      <c r="J15" s="426">
        <f t="shared" si="4"/>
        <v>12856386.099999905</v>
      </c>
    </row>
    <row r="16" spans="1:10" ht="15.75">
      <c r="A16" s="543" t="s">
        <v>127</v>
      </c>
      <c r="B16" s="426">
        <v>737219537.76</v>
      </c>
      <c r="C16" s="426">
        <f>733973318.52+32715.39</f>
        <v>734006033.91</v>
      </c>
      <c r="D16" s="426">
        <f t="shared" si="0"/>
        <v>3213503.850000024</v>
      </c>
      <c r="E16" s="426">
        <v>19261421.99</v>
      </c>
      <c r="F16" s="426">
        <f>14414171.77+1006028</f>
        <v>15420199.77</v>
      </c>
      <c r="G16" s="426">
        <f t="shared" si="1"/>
        <v>3841222.219999999</v>
      </c>
      <c r="H16" s="426">
        <f t="shared" si="2"/>
        <v>756480959.75</v>
      </c>
      <c r="I16" s="426">
        <f t="shared" si="3"/>
        <v>749426233.68</v>
      </c>
      <c r="J16" s="426">
        <f t="shared" si="4"/>
        <v>7054726.070000052</v>
      </c>
    </row>
    <row r="17" spans="1:12" s="427" customFormat="1" ht="15.75">
      <c r="A17" s="543" t="s">
        <v>133</v>
      </c>
      <c r="B17" s="426">
        <v>435288050.74</v>
      </c>
      <c r="C17" s="426">
        <f>429756318.5+321233.81</f>
        <v>430077552.31</v>
      </c>
      <c r="D17" s="426">
        <f t="shared" si="0"/>
        <v>5210498.430000007</v>
      </c>
      <c r="E17" s="426">
        <v>19522167.74</v>
      </c>
      <c r="F17" s="426">
        <f>15426313.8+567558</f>
        <v>15993871.8</v>
      </c>
      <c r="G17" s="426">
        <f t="shared" si="1"/>
        <v>3528295.9399999976</v>
      </c>
      <c r="H17" s="426">
        <f t="shared" si="2"/>
        <v>454810218.48</v>
      </c>
      <c r="I17" s="426">
        <f t="shared" si="3"/>
        <v>446071424.11</v>
      </c>
      <c r="J17" s="426">
        <f t="shared" si="4"/>
        <v>8738794.370000005</v>
      </c>
      <c r="K17" s="388"/>
      <c r="L17" s="388"/>
    </row>
    <row r="18" spans="1:10" ht="18.75" customHeight="1">
      <c r="A18" s="543" t="s">
        <v>137</v>
      </c>
      <c r="B18" s="426">
        <v>162529711.99</v>
      </c>
      <c r="C18" s="426">
        <f>148779150.3-120399.04</f>
        <v>148658751.26000002</v>
      </c>
      <c r="D18" s="426">
        <f t="shared" si="0"/>
        <v>13870960.72999999</v>
      </c>
      <c r="E18" s="426">
        <v>1296116.47</v>
      </c>
      <c r="F18" s="426">
        <f>309494.76+301154</f>
        <v>610648.76</v>
      </c>
      <c r="G18" s="426">
        <f t="shared" si="1"/>
        <v>685467.71</v>
      </c>
      <c r="H18" s="426">
        <f t="shared" si="2"/>
        <v>163825828.46</v>
      </c>
      <c r="I18" s="426">
        <f t="shared" si="3"/>
        <v>149269400.02</v>
      </c>
      <c r="J18" s="426">
        <f t="shared" si="4"/>
        <v>14556428.439999998</v>
      </c>
    </row>
    <row r="19" spans="1:10" ht="15.75">
      <c r="A19" s="543" t="s">
        <v>141</v>
      </c>
      <c r="B19" s="426">
        <v>116691071.86</v>
      </c>
      <c r="C19" s="426">
        <f>117803888.78+482.77</f>
        <v>117804371.55</v>
      </c>
      <c r="D19" s="426">
        <f t="shared" si="0"/>
        <v>-1113299.6899999976</v>
      </c>
      <c r="E19" s="426">
        <v>2989370.25</v>
      </c>
      <c r="F19" s="426">
        <f>903912.29+356409</f>
        <v>1260321.29</v>
      </c>
      <c r="G19" s="426">
        <f t="shared" si="1"/>
        <v>1729048.96</v>
      </c>
      <c r="H19" s="426">
        <f t="shared" si="2"/>
        <v>119680442.11</v>
      </c>
      <c r="I19" s="426">
        <f t="shared" si="3"/>
        <v>119064692.84</v>
      </c>
      <c r="J19" s="426">
        <f t="shared" si="4"/>
        <v>615749.2699999958</v>
      </c>
    </row>
    <row r="20" spans="1:10" ht="15.75">
      <c r="A20" s="543" t="s">
        <v>639</v>
      </c>
      <c r="B20" s="426">
        <v>67899426.31</v>
      </c>
      <c r="C20" s="426">
        <f>69299163.03+474.13</f>
        <v>69299637.16</v>
      </c>
      <c r="D20" s="426">
        <f t="shared" si="0"/>
        <v>-1400210.849999994</v>
      </c>
      <c r="E20" s="426">
        <v>1633669.83</v>
      </c>
      <c r="F20" s="426">
        <f>1019879.23+98193</f>
        <v>1118072.23</v>
      </c>
      <c r="G20" s="426">
        <f t="shared" si="1"/>
        <v>515597.6000000001</v>
      </c>
      <c r="H20" s="426">
        <f t="shared" si="2"/>
        <v>69533096.14</v>
      </c>
      <c r="I20" s="426">
        <f t="shared" si="3"/>
        <v>70417709.39</v>
      </c>
      <c r="J20" s="426">
        <f t="shared" si="4"/>
        <v>-884613.25</v>
      </c>
    </row>
    <row r="21" spans="1:10" ht="15.75">
      <c r="A21" s="543" t="s">
        <v>146</v>
      </c>
      <c r="B21" s="426">
        <v>393360362.01</v>
      </c>
      <c r="C21" s="426">
        <f>383418379.65+376558</f>
        <v>383794937.65</v>
      </c>
      <c r="D21" s="426">
        <f t="shared" si="0"/>
        <v>9565424.360000014</v>
      </c>
      <c r="E21" s="426">
        <v>800803.41</v>
      </c>
      <c r="F21" s="426">
        <f>52+95145</f>
        <v>95197</v>
      </c>
      <c r="G21" s="426">
        <f t="shared" si="1"/>
        <v>705606.41</v>
      </c>
      <c r="H21" s="426">
        <f t="shared" si="2"/>
        <v>394161165.42</v>
      </c>
      <c r="I21" s="426">
        <f t="shared" si="3"/>
        <v>383890134.65</v>
      </c>
      <c r="J21" s="426">
        <f t="shared" si="4"/>
        <v>10271030.77000004</v>
      </c>
    </row>
    <row r="22" spans="1:12" ht="15.75">
      <c r="A22" s="543" t="s">
        <v>147</v>
      </c>
      <c r="B22" s="426">
        <v>78381617.13</v>
      </c>
      <c r="C22" s="426">
        <v>78738792.06</v>
      </c>
      <c r="D22" s="426">
        <f t="shared" si="0"/>
        <v>-357174.93000000715</v>
      </c>
      <c r="E22" s="426">
        <v>0</v>
      </c>
      <c r="F22" s="428">
        <v>0</v>
      </c>
      <c r="G22" s="426">
        <f t="shared" si="1"/>
        <v>0</v>
      </c>
      <c r="H22" s="426">
        <f t="shared" si="2"/>
        <v>78381617.13</v>
      </c>
      <c r="I22" s="426">
        <f t="shared" si="3"/>
        <v>78738792.06</v>
      </c>
      <c r="J22" s="426">
        <f t="shared" si="4"/>
        <v>-357174.93000000715</v>
      </c>
      <c r="K22" s="429"/>
      <c r="L22" s="429"/>
    </row>
    <row r="23" spans="1:12" s="427" customFormat="1" ht="26.25" customHeight="1">
      <c r="A23" s="455" t="s">
        <v>155</v>
      </c>
      <c r="B23" s="525">
        <f aca="true" t="shared" si="5" ref="B23:J23">SUM(B3:B22)</f>
        <v>13228914781.04</v>
      </c>
      <c r="C23" s="526">
        <f t="shared" si="5"/>
        <v>13096155220.550001</v>
      </c>
      <c r="D23" s="527">
        <f t="shared" si="5"/>
        <v>132759560.48999971</v>
      </c>
      <c r="E23" s="527">
        <f t="shared" si="5"/>
        <v>818742047.45</v>
      </c>
      <c r="F23" s="527">
        <f t="shared" si="5"/>
        <v>738485413.06</v>
      </c>
      <c r="G23" s="527">
        <f t="shared" si="5"/>
        <v>80256634.38999996</v>
      </c>
      <c r="H23" s="528">
        <f t="shared" si="5"/>
        <v>14047656828.49</v>
      </c>
      <c r="I23" s="528">
        <f t="shared" si="5"/>
        <v>13834640633.61</v>
      </c>
      <c r="J23" s="527">
        <f t="shared" si="5"/>
        <v>213016194.87999952</v>
      </c>
      <c r="K23" s="430"/>
      <c r="L23" s="430"/>
    </row>
  </sheetData>
  <mergeCells count="1">
    <mergeCell ref="A1:J1"/>
  </mergeCells>
  <conditionalFormatting sqref="D3:D22 J3:J22 G3:G22">
    <cfRule type="cellIs" priority="1" dxfId="0" operator="greaterThanOrEqual" stopIfTrue="1">
      <formula>0</formula>
    </cfRule>
    <cfRule type="cellIs" priority="2" dxfId="1" operator="lessThan" stopIfTrue="1">
      <formula>0</formula>
    </cfRule>
  </conditionalFormatting>
  <printOptions horizontalCentered="1"/>
  <pageMargins left="0.4330708661417323" right="0.3937007874015748" top="0.83" bottom="0.984251968503937" header="0.5118110236220472" footer="0.5118110236220472"/>
  <pageSetup fitToHeight="1" fitToWidth="1" horizontalDpi="600" verticalDpi="600" orientation="landscape" paperSize="9" scale="88" r:id="rId1"/>
</worksheet>
</file>

<file path=xl/worksheets/sheet37.xml><?xml version="1.0" encoding="utf-8"?>
<worksheet xmlns="http://schemas.openxmlformats.org/spreadsheetml/2006/main" xmlns:r="http://schemas.openxmlformats.org/officeDocument/2006/relationships">
  <sheetPr>
    <tabColor indexed="11"/>
  </sheetPr>
  <dimension ref="A1:K41"/>
  <sheetViews>
    <sheetView zoomScaleSheetLayoutView="75" workbookViewId="0" topLeftCell="A1">
      <pane xSplit="1" ySplit="3" topLeftCell="D21" activePane="bottomRight" state="frozen"/>
      <selection pane="topLeft" activeCell="D45" sqref="D45"/>
      <selection pane="topRight" activeCell="D45" sqref="D45"/>
      <selection pane="bottomLeft" activeCell="D45" sqref="D45"/>
      <selection pane="bottomRight" activeCell="K41" sqref="K41"/>
    </sheetView>
  </sheetViews>
  <sheetFormatPr defaultColWidth="9.140625" defaultRowHeight="12.75"/>
  <cols>
    <col min="1" max="1" width="46.8515625" style="405" customWidth="1"/>
    <col min="2" max="2" width="16.7109375" style="405" customWidth="1"/>
    <col min="3" max="3" width="16.421875" style="405" customWidth="1"/>
    <col min="4" max="4" width="15.421875" style="405" customWidth="1"/>
    <col min="5" max="5" width="16.421875" style="405" customWidth="1"/>
    <col min="6" max="6" width="15.00390625" style="405" customWidth="1"/>
    <col min="7" max="7" width="13.8515625" style="405" customWidth="1"/>
    <col min="8" max="8" width="16.421875" style="405" customWidth="1"/>
    <col min="9" max="9" width="13.8515625" style="405" customWidth="1"/>
    <col min="10" max="10" width="14.00390625" style="405" customWidth="1"/>
    <col min="11" max="11" width="11.7109375" style="405" customWidth="1"/>
    <col min="12" max="16384" width="9.140625" style="405" customWidth="1"/>
  </cols>
  <sheetData>
    <row r="1" spans="1:11" ht="75" customHeight="1">
      <c r="A1" s="609" t="s">
        <v>651</v>
      </c>
      <c r="B1" s="609"/>
      <c r="C1" s="609"/>
      <c r="D1" s="609"/>
      <c r="E1" s="609"/>
      <c r="F1" s="609"/>
      <c r="G1" s="609"/>
      <c r="H1" s="609"/>
      <c r="I1" s="609"/>
      <c r="J1" s="609"/>
      <c r="K1" s="434"/>
    </row>
    <row r="2" spans="1:11" ht="25.5" customHeight="1">
      <c r="A2" s="610" t="s">
        <v>542</v>
      </c>
      <c r="B2" s="607" t="s">
        <v>578</v>
      </c>
      <c r="C2" s="607"/>
      <c r="D2" s="607"/>
      <c r="E2" s="607" t="s">
        <v>579</v>
      </c>
      <c r="F2" s="607"/>
      <c r="G2" s="607"/>
      <c r="H2" s="607" t="s">
        <v>580</v>
      </c>
      <c r="I2" s="607"/>
      <c r="J2" s="607"/>
      <c r="K2" s="434"/>
    </row>
    <row r="3" spans="1:11" s="406" customFormat="1" ht="66.75" customHeight="1">
      <c r="A3" s="610"/>
      <c r="B3" s="519" t="s">
        <v>543</v>
      </c>
      <c r="C3" s="513" t="s">
        <v>544</v>
      </c>
      <c r="D3" s="513" t="s">
        <v>545</v>
      </c>
      <c r="E3" s="519" t="s">
        <v>543</v>
      </c>
      <c r="F3" s="513" t="s">
        <v>544</v>
      </c>
      <c r="G3" s="513" t="s">
        <v>545</v>
      </c>
      <c r="H3" s="519" t="s">
        <v>543</v>
      </c>
      <c r="I3" s="513" t="s">
        <v>544</v>
      </c>
      <c r="J3" s="513" t="s">
        <v>545</v>
      </c>
      <c r="K3" s="435"/>
    </row>
    <row r="4" spans="1:10" ht="15.75">
      <c r="A4" s="516" t="s">
        <v>546</v>
      </c>
      <c r="B4" s="535">
        <v>67892.676</v>
      </c>
      <c r="C4" s="385">
        <v>14684.818</v>
      </c>
      <c r="D4" s="385">
        <v>82577.494</v>
      </c>
      <c r="E4" s="535">
        <v>162650.412</v>
      </c>
      <c r="F4" s="385">
        <v>21281</v>
      </c>
      <c r="G4" s="385">
        <v>183931.412</v>
      </c>
      <c r="H4" s="535">
        <v>94757.736</v>
      </c>
      <c r="I4" s="385">
        <v>6596.182000000001</v>
      </c>
      <c r="J4" s="385">
        <v>101353.918</v>
      </c>
    </row>
    <row r="5" spans="1:11" ht="15.75">
      <c r="A5" s="516" t="s">
        <v>547</v>
      </c>
      <c r="B5" s="535">
        <v>503007.772</v>
      </c>
      <c r="C5" s="385">
        <v>59258.339</v>
      </c>
      <c r="D5" s="385">
        <v>562266.111</v>
      </c>
      <c r="E5" s="535">
        <v>493401.426</v>
      </c>
      <c r="F5" s="385">
        <v>5173</v>
      </c>
      <c r="G5" s="385">
        <v>498574.426</v>
      </c>
      <c r="H5" s="535">
        <v>-9606.34600000002</v>
      </c>
      <c r="I5" s="385">
        <v>-54085.339</v>
      </c>
      <c r="J5" s="385">
        <v>-63691.685000000056</v>
      </c>
      <c r="K5" s="436"/>
    </row>
    <row r="6" spans="1:11" ht="15.75">
      <c r="A6" s="516" t="s">
        <v>548</v>
      </c>
      <c r="B6" s="535">
        <v>18163.799</v>
      </c>
      <c r="C6" s="385">
        <v>4187.052</v>
      </c>
      <c r="D6" s="385">
        <v>22350.851</v>
      </c>
      <c r="E6" s="535">
        <v>16646</v>
      </c>
      <c r="F6" s="385">
        <v>122</v>
      </c>
      <c r="G6" s="385">
        <v>16768</v>
      </c>
      <c r="H6" s="535">
        <v>-1517.798999999999</v>
      </c>
      <c r="I6" s="385">
        <v>-4065.0519999999997</v>
      </c>
      <c r="J6" s="385">
        <v>-5582.850999999999</v>
      </c>
      <c r="K6" s="436"/>
    </row>
    <row r="7" spans="1:11" ht="15.75">
      <c r="A7" s="516" t="s">
        <v>549</v>
      </c>
      <c r="B7" s="535">
        <v>0</v>
      </c>
      <c r="C7" s="385">
        <v>0</v>
      </c>
      <c r="D7" s="385">
        <v>0</v>
      </c>
      <c r="E7" s="535">
        <v>0</v>
      </c>
      <c r="F7" s="385">
        <v>0</v>
      </c>
      <c r="G7" s="385">
        <v>0</v>
      </c>
      <c r="H7" s="535">
        <v>0</v>
      </c>
      <c r="I7" s="385">
        <v>0</v>
      </c>
      <c r="J7" s="385">
        <v>0</v>
      </c>
      <c r="K7" s="436"/>
    </row>
    <row r="8" spans="1:11" ht="15.75">
      <c r="A8" s="516" t="s">
        <v>550</v>
      </c>
      <c r="B8" s="535">
        <v>0</v>
      </c>
      <c r="C8" s="385">
        <v>0</v>
      </c>
      <c r="D8" s="385">
        <v>0</v>
      </c>
      <c r="E8" s="535">
        <v>0</v>
      </c>
      <c r="F8" s="385">
        <v>0</v>
      </c>
      <c r="G8" s="385">
        <v>0</v>
      </c>
      <c r="H8" s="535">
        <v>0</v>
      </c>
      <c r="I8" s="385">
        <v>0</v>
      </c>
      <c r="J8" s="385">
        <v>0</v>
      </c>
      <c r="K8" s="436"/>
    </row>
    <row r="9" spans="1:11" ht="15.75">
      <c r="A9" s="516" t="s">
        <v>551</v>
      </c>
      <c r="B9" s="535">
        <v>0</v>
      </c>
      <c r="C9" s="385">
        <v>0</v>
      </c>
      <c r="D9" s="385">
        <v>0</v>
      </c>
      <c r="E9" s="535">
        <v>1313</v>
      </c>
      <c r="F9" s="385">
        <v>0</v>
      </c>
      <c r="G9" s="385">
        <v>1313</v>
      </c>
      <c r="H9" s="535">
        <v>1313</v>
      </c>
      <c r="I9" s="385">
        <v>0</v>
      </c>
      <c r="J9" s="385">
        <v>1313</v>
      </c>
      <c r="K9" s="436"/>
    </row>
    <row r="10" spans="1:11" ht="15.75">
      <c r="A10" s="516" t="s">
        <v>552</v>
      </c>
      <c r="B10" s="535">
        <v>0</v>
      </c>
      <c r="C10" s="385">
        <v>0</v>
      </c>
      <c r="D10" s="385">
        <v>0</v>
      </c>
      <c r="E10" s="535">
        <v>0</v>
      </c>
      <c r="F10" s="385">
        <v>0</v>
      </c>
      <c r="G10" s="385">
        <v>0</v>
      </c>
      <c r="H10" s="535">
        <v>0</v>
      </c>
      <c r="I10" s="385">
        <v>0</v>
      </c>
      <c r="J10" s="385">
        <v>0</v>
      </c>
      <c r="K10" s="436"/>
    </row>
    <row r="11" spans="1:11" ht="15.75">
      <c r="A11" s="516" t="s">
        <v>553</v>
      </c>
      <c r="B11" s="535">
        <v>17</v>
      </c>
      <c r="C11" s="385">
        <v>0</v>
      </c>
      <c r="D11" s="385">
        <v>17</v>
      </c>
      <c r="E11" s="535">
        <v>0</v>
      </c>
      <c r="F11" s="385">
        <v>0</v>
      </c>
      <c r="G11" s="385">
        <v>0</v>
      </c>
      <c r="H11" s="535">
        <v>-17</v>
      </c>
      <c r="I11" s="385">
        <v>0</v>
      </c>
      <c r="J11" s="385">
        <v>-17</v>
      </c>
      <c r="K11" s="436"/>
    </row>
    <row r="12" spans="1:11" ht="15.75">
      <c r="A12" s="516" t="s">
        <v>554</v>
      </c>
      <c r="B12" s="535">
        <v>7636.186</v>
      </c>
      <c r="C12" s="385">
        <v>7978</v>
      </c>
      <c r="D12" s="385">
        <v>15614.186</v>
      </c>
      <c r="E12" s="535">
        <v>3662.1</v>
      </c>
      <c r="F12" s="385">
        <v>0</v>
      </c>
      <c r="G12" s="385">
        <v>3662.1</v>
      </c>
      <c r="H12" s="535">
        <v>-3974.086</v>
      </c>
      <c r="I12" s="385">
        <v>-7978</v>
      </c>
      <c r="J12" s="385">
        <v>-11952.086</v>
      </c>
      <c r="K12" s="436"/>
    </row>
    <row r="13" spans="1:11" ht="15.75">
      <c r="A13" s="516" t="s">
        <v>555</v>
      </c>
      <c r="B13" s="535">
        <v>0</v>
      </c>
      <c r="C13" s="385">
        <v>0</v>
      </c>
      <c r="D13" s="385">
        <v>0</v>
      </c>
      <c r="E13" s="535">
        <v>0</v>
      </c>
      <c r="F13" s="385">
        <v>0</v>
      </c>
      <c r="G13" s="385">
        <v>0</v>
      </c>
      <c r="H13" s="535">
        <v>0</v>
      </c>
      <c r="I13" s="385">
        <v>0</v>
      </c>
      <c r="J13" s="385">
        <v>0</v>
      </c>
      <c r="K13" s="436"/>
    </row>
    <row r="14" spans="1:11" ht="15.75">
      <c r="A14" s="516" t="s">
        <v>556</v>
      </c>
      <c r="B14" s="535">
        <v>0</v>
      </c>
      <c r="C14" s="385">
        <v>0</v>
      </c>
      <c r="D14" s="385">
        <v>0</v>
      </c>
      <c r="E14" s="535">
        <v>0</v>
      </c>
      <c r="F14" s="385">
        <v>0</v>
      </c>
      <c r="G14" s="385">
        <v>0</v>
      </c>
      <c r="H14" s="535">
        <v>0</v>
      </c>
      <c r="I14" s="385">
        <v>0</v>
      </c>
      <c r="J14" s="385">
        <v>0</v>
      </c>
      <c r="K14" s="436"/>
    </row>
    <row r="15" spans="1:11" ht="15.75">
      <c r="A15" s="516" t="s">
        <v>557</v>
      </c>
      <c r="B15" s="535">
        <v>228.228</v>
      </c>
      <c r="C15" s="385">
        <v>0</v>
      </c>
      <c r="D15" s="385">
        <v>228.228</v>
      </c>
      <c r="E15" s="535">
        <v>463</v>
      </c>
      <c r="F15" s="385">
        <v>18</v>
      </c>
      <c r="G15" s="385">
        <v>481</v>
      </c>
      <c r="H15" s="535">
        <v>234.772</v>
      </c>
      <c r="I15" s="385">
        <v>18</v>
      </c>
      <c r="J15" s="385">
        <v>252.772</v>
      </c>
      <c r="K15" s="436"/>
    </row>
    <row r="16" spans="1:11" ht="15.75">
      <c r="A16" s="516" t="s">
        <v>558</v>
      </c>
      <c r="B16" s="535">
        <v>49.561</v>
      </c>
      <c r="C16" s="385">
        <v>0</v>
      </c>
      <c r="D16" s="385">
        <v>49.561</v>
      </c>
      <c r="E16" s="535">
        <v>346.179</v>
      </c>
      <c r="F16" s="385">
        <v>0</v>
      </c>
      <c r="G16" s="385">
        <v>346.179</v>
      </c>
      <c r="H16" s="535">
        <v>296.618</v>
      </c>
      <c r="I16" s="385">
        <v>0</v>
      </c>
      <c r="J16" s="385">
        <v>296.618</v>
      </c>
      <c r="K16" s="436"/>
    </row>
    <row r="17" spans="1:11" ht="15.75">
      <c r="A17" s="516" t="s">
        <v>559</v>
      </c>
      <c r="B17" s="535">
        <v>9.812</v>
      </c>
      <c r="C17" s="385">
        <v>0.229</v>
      </c>
      <c r="D17" s="385">
        <v>10.040999999999999</v>
      </c>
      <c r="E17" s="535">
        <v>0</v>
      </c>
      <c r="F17" s="385">
        <v>0</v>
      </c>
      <c r="G17" s="385">
        <v>0</v>
      </c>
      <c r="H17" s="535">
        <v>-9.812</v>
      </c>
      <c r="I17" s="385">
        <v>-0.229</v>
      </c>
      <c r="J17" s="385">
        <v>-10.040999999999999</v>
      </c>
      <c r="K17" s="436"/>
    </row>
    <row r="18" spans="1:11" ht="15.75">
      <c r="A18" s="516" t="s">
        <v>560</v>
      </c>
      <c r="B18" s="535">
        <v>47.193999999999996</v>
      </c>
      <c r="C18" s="385">
        <v>50.079</v>
      </c>
      <c r="D18" s="385">
        <v>97.273</v>
      </c>
      <c r="E18" s="535">
        <v>41.698</v>
      </c>
      <c r="F18" s="385">
        <v>17</v>
      </c>
      <c r="G18" s="385">
        <v>58.698</v>
      </c>
      <c r="H18" s="535">
        <v>-5.495999999999995</v>
      </c>
      <c r="I18" s="385">
        <v>-33.079</v>
      </c>
      <c r="J18" s="385">
        <v>-38.575</v>
      </c>
      <c r="K18" s="436"/>
    </row>
    <row r="19" spans="1:11" ht="15.75">
      <c r="A19" s="516" t="s">
        <v>561</v>
      </c>
      <c r="B19" s="535">
        <v>0</v>
      </c>
      <c r="C19" s="385">
        <v>0</v>
      </c>
      <c r="D19" s="385">
        <v>0</v>
      </c>
      <c r="E19" s="535">
        <v>0</v>
      </c>
      <c r="F19" s="385">
        <v>0</v>
      </c>
      <c r="G19" s="385">
        <v>0</v>
      </c>
      <c r="H19" s="535">
        <v>0</v>
      </c>
      <c r="I19" s="385">
        <v>0</v>
      </c>
      <c r="J19" s="385">
        <v>0</v>
      </c>
      <c r="K19" s="436"/>
    </row>
    <row r="20" spans="1:11" ht="15.75">
      <c r="A20" s="516" t="s">
        <v>562</v>
      </c>
      <c r="B20" s="535">
        <v>9219.633</v>
      </c>
      <c r="C20" s="385">
        <v>196.27</v>
      </c>
      <c r="D20" s="385">
        <v>9415.903</v>
      </c>
      <c r="E20" s="535">
        <v>15855.838</v>
      </c>
      <c r="F20" s="385">
        <v>4</v>
      </c>
      <c r="G20" s="385">
        <v>15859.838</v>
      </c>
      <c r="H20" s="535">
        <v>6636.205</v>
      </c>
      <c r="I20" s="385">
        <v>-192.27</v>
      </c>
      <c r="J20" s="385">
        <v>6443.9349999999995</v>
      </c>
      <c r="K20" s="436"/>
    </row>
    <row r="21" spans="1:11" ht="31.5">
      <c r="A21" s="516" t="s">
        <v>563</v>
      </c>
      <c r="B21" s="535">
        <v>0</v>
      </c>
      <c r="C21" s="385">
        <v>0</v>
      </c>
      <c r="D21" s="385">
        <v>0</v>
      </c>
      <c r="E21" s="535">
        <v>32</v>
      </c>
      <c r="F21" s="385">
        <v>0</v>
      </c>
      <c r="G21" s="385">
        <v>32</v>
      </c>
      <c r="H21" s="535">
        <v>32</v>
      </c>
      <c r="I21" s="385">
        <v>0</v>
      </c>
      <c r="J21" s="385">
        <v>32</v>
      </c>
      <c r="K21" s="436"/>
    </row>
    <row r="22" spans="1:11" ht="15.75">
      <c r="A22" s="516" t="s">
        <v>564</v>
      </c>
      <c r="B22" s="535">
        <v>0</v>
      </c>
      <c r="C22" s="385">
        <v>0</v>
      </c>
      <c r="D22" s="385">
        <v>0</v>
      </c>
      <c r="E22" s="535">
        <v>0</v>
      </c>
      <c r="F22" s="385">
        <v>0</v>
      </c>
      <c r="G22" s="385">
        <v>0</v>
      </c>
      <c r="H22" s="535">
        <v>0</v>
      </c>
      <c r="I22" s="385">
        <v>0</v>
      </c>
      <c r="J22" s="385">
        <v>0</v>
      </c>
      <c r="K22" s="436"/>
    </row>
    <row r="23" spans="1:11" ht="31.5">
      <c r="A23" s="516" t="s">
        <v>565</v>
      </c>
      <c r="B23" s="535">
        <v>0</v>
      </c>
      <c r="C23" s="385">
        <v>0</v>
      </c>
      <c r="D23" s="385">
        <v>0</v>
      </c>
      <c r="E23" s="535">
        <v>0</v>
      </c>
      <c r="F23" s="385">
        <v>0</v>
      </c>
      <c r="G23" s="385">
        <v>0</v>
      </c>
      <c r="H23" s="535">
        <v>0</v>
      </c>
      <c r="I23" s="385">
        <v>0</v>
      </c>
      <c r="J23" s="385">
        <v>0</v>
      </c>
      <c r="K23" s="436"/>
    </row>
    <row r="24" spans="1:11" ht="15.75">
      <c r="A24" s="516" t="s">
        <v>566</v>
      </c>
      <c r="B24" s="535">
        <v>24</v>
      </c>
      <c r="C24" s="385">
        <v>0</v>
      </c>
      <c r="D24" s="385">
        <v>24</v>
      </c>
      <c r="E24" s="535">
        <v>0</v>
      </c>
      <c r="F24" s="385">
        <v>0</v>
      </c>
      <c r="G24" s="385">
        <v>0</v>
      </c>
      <c r="H24" s="535">
        <v>-24</v>
      </c>
      <c r="I24" s="385">
        <v>0</v>
      </c>
      <c r="J24" s="385">
        <v>-24</v>
      </c>
      <c r="K24" s="436"/>
    </row>
    <row r="25" spans="1:11" ht="31.5">
      <c r="A25" s="516" t="s">
        <v>567</v>
      </c>
      <c r="B25" s="535">
        <v>0</v>
      </c>
      <c r="C25" s="385">
        <v>0</v>
      </c>
      <c r="D25" s="385">
        <v>0</v>
      </c>
      <c r="E25" s="535">
        <v>0</v>
      </c>
      <c r="F25" s="385">
        <v>0</v>
      </c>
      <c r="G25" s="385">
        <v>0</v>
      </c>
      <c r="H25" s="535">
        <v>0</v>
      </c>
      <c r="I25" s="385">
        <v>0</v>
      </c>
      <c r="J25" s="385">
        <v>0</v>
      </c>
      <c r="K25" s="436"/>
    </row>
    <row r="26" spans="1:11" ht="15.75">
      <c r="A26" s="516" t="s">
        <v>568</v>
      </c>
      <c r="B26" s="535">
        <v>32</v>
      </c>
      <c r="C26" s="385">
        <v>0</v>
      </c>
      <c r="D26" s="385">
        <v>32</v>
      </c>
      <c r="E26" s="535">
        <v>0</v>
      </c>
      <c r="F26" s="385">
        <v>0</v>
      </c>
      <c r="G26" s="385">
        <v>0</v>
      </c>
      <c r="H26" s="535">
        <v>-32</v>
      </c>
      <c r="I26" s="385">
        <v>0</v>
      </c>
      <c r="J26" s="385">
        <v>-32</v>
      </c>
      <c r="K26" s="436"/>
    </row>
    <row r="27" spans="1:11" ht="15.75">
      <c r="A27" s="516" t="s">
        <v>569</v>
      </c>
      <c r="B27" s="535">
        <v>0</v>
      </c>
      <c r="C27" s="385">
        <v>0</v>
      </c>
      <c r="D27" s="385">
        <v>0</v>
      </c>
      <c r="E27" s="535">
        <v>0</v>
      </c>
      <c r="F27" s="385">
        <v>0</v>
      </c>
      <c r="G27" s="385">
        <v>0</v>
      </c>
      <c r="H27" s="535">
        <v>0</v>
      </c>
      <c r="I27" s="385">
        <v>0</v>
      </c>
      <c r="J27" s="385">
        <v>0</v>
      </c>
      <c r="K27" s="436"/>
    </row>
    <row r="28" spans="1:11" ht="15.75">
      <c r="A28" s="516" t="s">
        <v>570</v>
      </c>
      <c r="B28" s="535">
        <v>188.094</v>
      </c>
      <c r="C28" s="385">
        <v>10116.634</v>
      </c>
      <c r="D28" s="385">
        <v>10304.728</v>
      </c>
      <c r="E28" s="535">
        <v>217.502</v>
      </c>
      <c r="F28" s="385">
        <v>3537</v>
      </c>
      <c r="G28" s="385">
        <v>3754.502</v>
      </c>
      <c r="H28" s="535">
        <v>29.408000000000015</v>
      </c>
      <c r="I28" s="385">
        <v>-6579.634</v>
      </c>
      <c r="J28" s="385">
        <v>-6550.225999999999</v>
      </c>
      <c r="K28" s="436"/>
    </row>
    <row r="29" spans="1:11" ht="15.75">
      <c r="A29" s="516" t="s">
        <v>571</v>
      </c>
      <c r="B29" s="535">
        <v>168</v>
      </c>
      <c r="C29" s="385">
        <v>0</v>
      </c>
      <c r="D29" s="385">
        <v>168</v>
      </c>
      <c r="E29" s="535">
        <v>0</v>
      </c>
      <c r="F29" s="385">
        <v>0</v>
      </c>
      <c r="G29" s="385">
        <v>0</v>
      </c>
      <c r="H29" s="535">
        <v>-168</v>
      </c>
      <c r="I29" s="385">
        <v>0</v>
      </c>
      <c r="J29" s="385">
        <v>-168</v>
      </c>
      <c r="K29" s="436"/>
    </row>
    <row r="30" spans="1:11" ht="15.75">
      <c r="A30" s="516" t="s">
        <v>572</v>
      </c>
      <c r="B30" s="535">
        <v>0</v>
      </c>
      <c r="C30" s="385">
        <v>0</v>
      </c>
      <c r="D30" s="385">
        <v>0</v>
      </c>
      <c r="E30" s="535">
        <v>0</v>
      </c>
      <c r="F30" s="385">
        <v>0</v>
      </c>
      <c r="G30" s="385">
        <v>0</v>
      </c>
      <c r="H30" s="535">
        <v>0</v>
      </c>
      <c r="I30" s="385">
        <v>0</v>
      </c>
      <c r="J30" s="385">
        <v>0</v>
      </c>
      <c r="K30" s="436"/>
    </row>
    <row r="31" spans="1:11" ht="15.75">
      <c r="A31" s="516" t="s">
        <v>573</v>
      </c>
      <c r="B31" s="535">
        <v>0</v>
      </c>
      <c r="C31" s="385">
        <v>0</v>
      </c>
      <c r="D31" s="385">
        <v>0</v>
      </c>
      <c r="E31" s="535">
        <v>0</v>
      </c>
      <c r="F31" s="385">
        <v>0</v>
      </c>
      <c r="G31" s="385">
        <v>0</v>
      </c>
      <c r="H31" s="535">
        <v>0</v>
      </c>
      <c r="I31" s="385">
        <v>0</v>
      </c>
      <c r="J31" s="385">
        <v>0</v>
      </c>
      <c r="K31" s="436"/>
    </row>
    <row r="32" spans="1:11" ht="15.75">
      <c r="A32" s="516" t="s">
        <v>574</v>
      </c>
      <c r="B32" s="535">
        <v>0</v>
      </c>
      <c r="C32" s="385">
        <v>0</v>
      </c>
      <c r="D32" s="385">
        <v>0</v>
      </c>
      <c r="E32" s="535">
        <v>0</v>
      </c>
      <c r="F32" s="385">
        <v>0</v>
      </c>
      <c r="G32" s="385">
        <v>0</v>
      </c>
      <c r="H32" s="535">
        <v>0</v>
      </c>
      <c r="I32" s="385">
        <v>0</v>
      </c>
      <c r="J32" s="385">
        <v>0</v>
      </c>
      <c r="K32" s="436"/>
    </row>
    <row r="33" spans="1:11" ht="15.75">
      <c r="A33" s="516" t="s">
        <v>575</v>
      </c>
      <c r="B33" s="535">
        <v>0</v>
      </c>
      <c r="C33" s="385">
        <v>0</v>
      </c>
      <c r="D33" s="385">
        <v>0</v>
      </c>
      <c r="E33" s="535">
        <v>0</v>
      </c>
      <c r="F33" s="385">
        <v>0</v>
      </c>
      <c r="G33" s="385">
        <v>0</v>
      </c>
      <c r="H33" s="535">
        <v>0</v>
      </c>
      <c r="I33" s="385">
        <v>0</v>
      </c>
      <c r="J33" s="385">
        <v>0</v>
      </c>
      <c r="K33" s="436"/>
    </row>
    <row r="34" spans="1:11" ht="15.75">
      <c r="A34" s="516" t="s">
        <v>576</v>
      </c>
      <c r="B34" s="535">
        <v>0</v>
      </c>
      <c r="C34" s="385">
        <v>0</v>
      </c>
      <c r="D34" s="385">
        <v>0</v>
      </c>
      <c r="E34" s="535">
        <v>0</v>
      </c>
      <c r="F34" s="385">
        <v>0</v>
      </c>
      <c r="G34" s="385">
        <v>0</v>
      </c>
      <c r="H34" s="535">
        <v>0</v>
      </c>
      <c r="I34" s="385">
        <v>0</v>
      </c>
      <c r="J34" s="385">
        <v>0</v>
      </c>
      <c r="K34" s="436"/>
    </row>
    <row r="35" spans="1:11" ht="15.75">
      <c r="A35" s="516" t="s">
        <v>577</v>
      </c>
      <c r="B35" s="535">
        <v>501500.608</v>
      </c>
      <c r="C35" s="385">
        <v>0</v>
      </c>
      <c r="D35" s="385">
        <v>501500.608</v>
      </c>
      <c r="E35" s="535">
        <v>531974.906</v>
      </c>
      <c r="F35" s="385">
        <v>0</v>
      </c>
      <c r="G35" s="385">
        <v>531974.906</v>
      </c>
      <c r="H35" s="535">
        <v>30474.29799999995</v>
      </c>
      <c r="I35" s="385">
        <v>0</v>
      </c>
      <c r="J35" s="385">
        <v>30474.29799999995</v>
      </c>
      <c r="K35" s="436"/>
    </row>
    <row r="36" spans="1:11" ht="24" customHeight="1">
      <c r="A36" s="508" t="s">
        <v>545</v>
      </c>
      <c r="B36" s="456">
        <v>1108184.563</v>
      </c>
      <c r="C36" s="456">
        <v>96471.42100000002</v>
      </c>
      <c r="D36" s="456">
        <v>1204655.9840000002</v>
      </c>
      <c r="E36" s="456">
        <v>1226604.0609999998</v>
      </c>
      <c r="F36" s="456">
        <v>30152</v>
      </c>
      <c r="G36" s="456">
        <v>1256756.0609999998</v>
      </c>
      <c r="H36" s="456">
        <v>118419.49799999993</v>
      </c>
      <c r="I36" s="456">
        <v>-66319.421</v>
      </c>
      <c r="J36" s="456">
        <v>52100.0769999999</v>
      </c>
      <c r="K36" s="437"/>
    </row>
    <row r="38" spans="7:10" ht="15.75">
      <c r="G38" s="388"/>
      <c r="H38" s="388"/>
      <c r="I38" s="388"/>
      <c r="J38" s="388"/>
    </row>
    <row r="39" spans="7:10" ht="15.75">
      <c r="G39" s="388"/>
      <c r="H39" s="388"/>
      <c r="I39" s="388"/>
      <c r="J39" s="388"/>
    </row>
    <row r="41" spans="7:10" ht="15.75">
      <c r="G41" s="388"/>
      <c r="H41" s="388"/>
      <c r="I41" s="388"/>
      <c r="J41" s="388"/>
    </row>
  </sheetData>
  <mergeCells count="5">
    <mergeCell ref="H2:J2"/>
    <mergeCell ref="A1:J1"/>
    <mergeCell ref="E2:G2"/>
    <mergeCell ref="A2:A3"/>
    <mergeCell ref="B2:D2"/>
  </mergeCells>
  <printOptions horizontalCentered="1" verticalCentered="1"/>
  <pageMargins left="0.6" right="0.52" top="0.15748031496062992" bottom="0.15748031496062992" header="0.15748031496062992" footer="0.15748031496062992"/>
  <pageSetup horizontalDpi="600" verticalDpi="600" orientation="landscape" paperSize="9" scale="72" r:id="rId1"/>
  <colBreaks count="1" manualBreakCount="1">
    <brk id="10" max="65535" man="1"/>
  </colBreaks>
</worksheet>
</file>

<file path=xl/worksheets/sheet38.xml><?xml version="1.0" encoding="utf-8"?>
<worksheet xmlns="http://schemas.openxmlformats.org/spreadsheetml/2006/main" xmlns:r="http://schemas.openxmlformats.org/officeDocument/2006/relationships">
  <sheetPr>
    <tabColor indexed="11"/>
    <pageSetUpPr fitToPage="1"/>
  </sheetPr>
  <dimension ref="A1:K42"/>
  <sheetViews>
    <sheetView zoomScale="75" zoomScaleNormal="75" workbookViewId="0" topLeftCell="A1">
      <pane xSplit="7" ySplit="3" topLeftCell="H30" activePane="bottomRight" state="frozen"/>
      <selection pane="topLeft" activeCell="D45" sqref="D45"/>
      <selection pane="topRight" activeCell="D45" sqref="D45"/>
      <selection pane="bottomLeft" activeCell="D45" sqref="D45"/>
      <selection pane="bottomRight" activeCell="G41" sqref="G41"/>
    </sheetView>
  </sheetViews>
  <sheetFormatPr defaultColWidth="9.140625" defaultRowHeight="12.75"/>
  <cols>
    <col min="1" max="1" width="46.8515625" style="439" customWidth="1"/>
    <col min="2" max="3" width="17.28125" style="439" customWidth="1"/>
    <col min="4" max="4" width="15.421875" style="439" customWidth="1"/>
    <col min="5" max="5" width="17.140625" style="439" customWidth="1"/>
    <col min="6" max="6" width="16.8515625" style="439" customWidth="1"/>
    <col min="7" max="7" width="13.7109375" style="439" customWidth="1"/>
    <col min="8" max="8" width="17.8515625" style="439" customWidth="1"/>
    <col min="9" max="9" width="17.28125" style="439" customWidth="1"/>
    <col min="10" max="10" width="15.7109375" style="439" customWidth="1"/>
    <col min="11" max="11" width="6.28125" style="439" customWidth="1"/>
    <col min="12" max="16384" width="9.140625" style="439" customWidth="1"/>
  </cols>
  <sheetData>
    <row r="1" spans="1:11" ht="75" customHeight="1">
      <c r="A1" s="609" t="s">
        <v>652</v>
      </c>
      <c r="B1" s="609"/>
      <c r="C1" s="609"/>
      <c r="D1" s="609"/>
      <c r="E1" s="609"/>
      <c r="F1" s="609"/>
      <c r="G1" s="609"/>
      <c r="H1" s="609"/>
      <c r="I1" s="609"/>
      <c r="J1" s="609"/>
      <c r="K1" s="438"/>
    </row>
    <row r="2" spans="1:11" ht="26.25" customHeight="1">
      <c r="A2" s="610" t="s">
        <v>542</v>
      </c>
      <c r="B2" s="607" t="s">
        <v>578</v>
      </c>
      <c r="C2" s="607"/>
      <c r="D2" s="607"/>
      <c r="E2" s="607" t="s">
        <v>579</v>
      </c>
      <c r="F2" s="607"/>
      <c r="G2" s="607"/>
      <c r="H2" s="607" t="s">
        <v>580</v>
      </c>
      <c r="I2" s="607"/>
      <c r="J2" s="607"/>
      <c r="K2" s="438"/>
    </row>
    <row r="3" spans="1:11" ht="47.25">
      <c r="A3" s="610"/>
      <c r="B3" s="519" t="s">
        <v>584</v>
      </c>
      <c r="C3" s="513" t="s">
        <v>585</v>
      </c>
      <c r="D3" s="513" t="s">
        <v>586</v>
      </c>
      <c r="E3" s="519" t="s">
        <v>584</v>
      </c>
      <c r="F3" s="513" t="s">
        <v>585</v>
      </c>
      <c r="G3" s="513" t="s">
        <v>586</v>
      </c>
      <c r="H3" s="519" t="s">
        <v>584</v>
      </c>
      <c r="I3" s="513" t="s">
        <v>585</v>
      </c>
      <c r="J3" s="513" t="s">
        <v>586</v>
      </c>
      <c r="K3" s="435"/>
    </row>
    <row r="4" spans="1:11" ht="15.75">
      <c r="A4" s="516" t="s">
        <v>587</v>
      </c>
      <c r="B4" s="420">
        <v>147574.262</v>
      </c>
      <c r="C4" s="440">
        <v>21407.340999999997</v>
      </c>
      <c r="D4" s="440">
        <v>168981.60299999997</v>
      </c>
      <c r="E4" s="535">
        <v>165962.073</v>
      </c>
      <c r="F4" s="385">
        <v>5631</v>
      </c>
      <c r="G4" s="385">
        <v>171593.073</v>
      </c>
      <c r="H4" s="535">
        <v>18387.811000000016</v>
      </c>
      <c r="I4" s="385">
        <v>-15776.340999999997</v>
      </c>
      <c r="J4" s="385">
        <v>2611.4700000000303</v>
      </c>
      <c r="K4" s="436"/>
    </row>
    <row r="5" spans="1:11" ht="15.75">
      <c r="A5" s="516" t="s">
        <v>588</v>
      </c>
      <c r="B5" s="420">
        <v>319108.593</v>
      </c>
      <c r="C5" s="440">
        <v>9753.832</v>
      </c>
      <c r="D5" s="440">
        <v>328862.425</v>
      </c>
      <c r="E5" s="535">
        <v>392507.302</v>
      </c>
      <c r="F5" s="385">
        <v>2549</v>
      </c>
      <c r="G5" s="385">
        <v>395056.302</v>
      </c>
      <c r="H5" s="535">
        <v>73398.70900000003</v>
      </c>
      <c r="I5" s="385">
        <v>-7204.832</v>
      </c>
      <c r="J5" s="385">
        <v>66193.87700000004</v>
      </c>
      <c r="K5" s="436"/>
    </row>
    <row r="6" spans="1:11" ht="15.75">
      <c r="A6" s="516" t="s">
        <v>0</v>
      </c>
      <c r="B6" s="420">
        <v>5.661</v>
      </c>
      <c r="C6" s="440">
        <v>69.583</v>
      </c>
      <c r="D6" s="440">
        <v>75.244</v>
      </c>
      <c r="E6" s="535">
        <v>0</v>
      </c>
      <c r="F6" s="385">
        <v>0</v>
      </c>
      <c r="G6" s="385">
        <v>0</v>
      </c>
      <c r="H6" s="535">
        <v>-5.661</v>
      </c>
      <c r="I6" s="385">
        <v>-69.583</v>
      </c>
      <c r="J6" s="385">
        <v>-75.244</v>
      </c>
      <c r="K6" s="436"/>
    </row>
    <row r="7" spans="1:11" ht="15.75">
      <c r="A7" s="516" t="s">
        <v>590</v>
      </c>
      <c r="B7" s="420">
        <v>19659.227</v>
      </c>
      <c r="C7" s="440">
        <v>3514.242</v>
      </c>
      <c r="D7" s="440">
        <v>23173.468999999997</v>
      </c>
      <c r="E7" s="535">
        <v>19606</v>
      </c>
      <c r="F7" s="385">
        <v>113</v>
      </c>
      <c r="G7" s="385">
        <v>19719</v>
      </c>
      <c r="H7" s="535">
        <v>-53.22699999999895</v>
      </c>
      <c r="I7" s="385">
        <v>-3401.242</v>
      </c>
      <c r="J7" s="385">
        <v>-3454.4689999999973</v>
      </c>
      <c r="K7" s="436"/>
    </row>
    <row r="8" spans="1:11" ht="15.75">
      <c r="A8" s="516" t="s">
        <v>591</v>
      </c>
      <c r="B8" s="420">
        <v>87834.678</v>
      </c>
      <c r="C8" s="440">
        <v>9579.514000000001</v>
      </c>
      <c r="D8" s="440">
        <v>97414.192</v>
      </c>
      <c r="E8" s="535">
        <v>134004.394</v>
      </c>
      <c r="F8" s="385">
        <v>768</v>
      </c>
      <c r="G8" s="385">
        <v>134772.394</v>
      </c>
      <c r="H8" s="535">
        <v>46169.716</v>
      </c>
      <c r="I8" s="385">
        <v>-8811.514000000001</v>
      </c>
      <c r="J8" s="385">
        <v>37358.202000000005</v>
      </c>
      <c r="K8" s="436"/>
    </row>
    <row r="9" spans="1:11" ht="15.75">
      <c r="A9" s="516" t="s">
        <v>592</v>
      </c>
      <c r="B9" s="420">
        <v>488.595</v>
      </c>
      <c r="C9" s="440">
        <v>0.084</v>
      </c>
      <c r="D9" s="440">
        <v>488.67900000000003</v>
      </c>
      <c r="E9" s="535">
        <v>1073.366</v>
      </c>
      <c r="F9" s="385">
        <v>0</v>
      </c>
      <c r="G9" s="385">
        <v>1073.366</v>
      </c>
      <c r="H9" s="535">
        <v>584.771</v>
      </c>
      <c r="I9" s="385">
        <v>-0.084</v>
      </c>
      <c r="J9" s="385">
        <v>584.6869999999999</v>
      </c>
      <c r="K9" s="436"/>
    </row>
    <row r="10" spans="1:11" ht="15.75">
      <c r="A10" s="516" t="s">
        <v>593</v>
      </c>
      <c r="B10" s="420">
        <v>84.571</v>
      </c>
      <c r="C10" s="440">
        <v>150.358</v>
      </c>
      <c r="D10" s="440">
        <v>234.929</v>
      </c>
      <c r="E10" s="535">
        <v>60</v>
      </c>
      <c r="F10" s="385">
        <v>2</v>
      </c>
      <c r="G10" s="385">
        <v>62</v>
      </c>
      <c r="H10" s="535">
        <v>-24.570999999999998</v>
      </c>
      <c r="I10" s="385">
        <v>-148.358</v>
      </c>
      <c r="J10" s="385">
        <v>-172.929</v>
      </c>
      <c r="K10" s="436"/>
    </row>
    <row r="11" spans="1:11" ht="15.75">
      <c r="A11" s="516" t="s">
        <v>594</v>
      </c>
      <c r="B11" s="420">
        <v>64134.38</v>
      </c>
      <c r="C11" s="440">
        <v>6285.084</v>
      </c>
      <c r="D11" s="440">
        <v>70419.464</v>
      </c>
      <c r="E11" s="535">
        <v>82355.552</v>
      </c>
      <c r="F11" s="385">
        <v>1903</v>
      </c>
      <c r="G11" s="385">
        <v>84258.552</v>
      </c>
      <c r="H11" s="535">
        <v>18221.172</v>
      </c>
      <c r="I11" s="385">
        <v>-4382.084</v>
      </c>
      <c r="J11" s="385">
        <v>13839.087999999989</v>
      </c>
      <c r="K11" s="436"/>
    </row>
    <row r="12" spans="1:11" ht="15.75">
      <c r="A12" s="516" t="s">
        <v>595</v>
      </c>
      <c r="B12" s="420">
        <v>238747.66</v>
      </c>
      <c r="C12" s="440">
        <v>19651.413</v>
      </c>
      <c r="D12" s="440">
        <v>258399.073</v>
      </c>
      <c r="E12" s="535">
        <v>252768.903</v>
      </c>
      <c r="F12" s="385">
        <v>9211</v>
      </c>
      <c r="G12" s="385">
        <v>261979.903</v>
      </c>
      <c r="H12" s="535">
        <v>14021.242999999988</v>
      </c>
      <c r="I12" s="385">
        <v>-10440.413</v>
      </c>
      <c r="J12" s="385">
        <v>3580.829999999987</v>
      </c>
      <c r="K12" s="436"/>
    </row>
    <row r="13" spans="1:11" ht="15.75">
      <c r="A13" s="516" t="s">
        <v>596</v>
      </c>
      <c r="B13" s="420">
        <v>80996.356</v>
      </c>
      <c r="C13" s="440">
        <v>5881.554</v>
      </c>
      <c r="D13" s="440">
        <v>86877.91</v>
      </c>
      <c r="E13" s="535">
        <v>86307.054</v>
      </c>
      <c r="F13" s="385">
        <v>2854</v>
      </c>
      <c r="G13" s="385">
        <v>89161.054</v>
      </c>
      <c r="H13" s="535">
        <v>5310.698000000004</v>
      </c>
      <c r="I13" s="385">
        <v>-3027.554</v>
      </c>
      <c r="J13" s="385">
        <v>2283.1440000000002</v>
      </c>
      <c r="K13" s="436"/>
    </row>
    <row r="14" spans="1:11" ht="15.75">
      <c r="A14" s="516" t="s">
        <v>597</v>
      </c>
      <c r="B14" s="420">
        <v>1991.488</v>
      </c>
      <c r="C14" s="440">
        <v>15.434000000000001</v>
      </c>
      <c r="D14" s="440">
        <v>2006.922</v>
      </c>
      <c r="E14" s="535">
        <v>2651.506</v>
      </c>
      <c r="F14" s="385">
        <v>32</v>
      </c>
      <c r="G14" s="385">
        <v>2683.506</v>
      </c>
      <c r="H14" s="535">
        <v>660.0179999999998</v>
      </c>
      <c r="I14" s="385">
        <v>16.566</v>
      </c>
      <c r="J14" s="385">
        <v>676.5839999999998</v>
      </c>
      <c r="K14" s="436"/>
    </row>
    <row r="15" spans="1:11" ht="15.75">
      <c r="A15" s="516" t="s">
        <v>598</v>
      </c>
      <c r="B15" s="420">
        <v>27758.057</v>
      </c>
      <c r="C15" s="440">
        <v>330.845</v>
      </c>
      <c r="D15" s="440">
        <v>28088.902000000002</v>
      </c>
      <c r="E15" s="535">
        <v>24126.445</v>
      </c>
      <c r="F15" s="385">
        <v>50</v>
      </c>
      <c r="G15" s="385">
        <v>24176.445</v>
      </c>
      <c r="H15" s="535">
        <v>-3631.612000000001</v>
      </c>
      <c r="I15" s="385">
        <v>-280.845</v>
      </c>
      <c r="J15" s="385">
        <v>-3912.457000000002</v>
      </c>
      <c r="K15" s="436"/>
    </row>
    <row r="16" spans="1:11" ht="15.75">
      <c r="A16" s="516" t="s">
        <v>599</v>
      </c>
      <c r="B16" s="420">
        <v>150.087</v>
      </c>
      <c r="C16" s="440">
        <v>0</v>
      </c>
      <c r="D16" s="440">
        <v>150.087</v>
      </c>
      <c r="E16" s="535">
        <v>329</v>
      </c>
      <c r="F16" s="385">
        <v>0</v>
      </c>
      <c r="G16" s="385">
        <v>329</v>
      </c>
      <c r="H16" s="535">
        <v>178.913</v>
      </c>
      <c r="I16" s="385">
        <v>0</v>
      </c>
      <c r="J16" s="385">
        <v>178.913</v>
      </c>
      <c r="K16" s="436"/>
    </row>
    <row r="17" spans="1:11" ht="15.75">
      <c r="A17" s="516" t="s">
        <v>600</v>
      </c>
      <c r="B17" s="420">
        <v>0</v>
      </c>
      <c r="C17" s="440">
        <v>32.225</v>
      </c>
      <c r="D17" s="440">
        <v>32.225</v>
      </c>
      <c r="E17" s="535">
        <v>0</v>
      </c>
      <c r="F17" s="385">
        <v>16</v>
      </c>
      <c r="G17" s="385">
        <v>16</v>
      </c>
      <c r="H17" s="535">
        <v>0</v>
      </c>
      <c r="I17" s="385">
        <v>-16.225</v>
      </c>
      <c r="J17" s="385">
        <v>-16.225</v>
      </c>
      <c r="K17" s="436"/>
    </row>
    <row r="18" spans="1:11" ht="15.75">
      <c r="A18" s="516" t="s">
        <v>601</v>
      </c>
      <c r="B18" s="420">
        <v>3984.067</v>
      </c>
      <c r="C18" s="440">
        <v>678.96</v>
      </c>
      <c r="D18" s="440">
        <v>4663.027</v>
      </c>
      <c r="E18" s="535">
        <v>4775</v>
      </c>
      <c r="F18" s="385">
        <v>249</v>
      </c>
      <c r="G18" s="385">
        <v>5024</v>
      </c>
      <c r="H18" s="535">
        <v>790.933</v>
      </c>
      <c r="I18" s="385">
        <v>-429.96</v>
      </c>
      <c r="J18" s="385">
        <v>360.97299999999996</v>
      </c>
      <c r="K18" s="436"/>
    </row>
    <row r="19" spans="1:11" ht="15.75">
      <c r="A19" s="516" t="s">
        <v>602</v>
      </c>
      <c r="B19" s="420">
        <v>698.765</v>
      </c>
      <c r="C19" s="440">
        <v>196.167</v>
      </c>
      <c r="D19" s="440">
        <v>894.932</v>
      </c>
      <c r="E19" s="535">
        <v>1123.718</v>
      </c>
      <c r="F19" s="385">
        <v>72</v>
      </c>
      <c r="G19" s="385">
        <v>1195.718</v>
      </c>
      <c r="H19" s="535">
        <v>424.9530000000001</v>
      </c>
      <c r="I19" s="385">
        <v>-124.167</v>
      </c>
      <c r="J19" s="385">
        <v>300.78600000000006</v>
      </c>
      <c r="K19" s="436"/>
    </row>
    <row r="20" spans="1:11" ht="15.75">
      <c r="A20" s="516" t="s">
        <v>603</v>
      </c>
      <c r="B20" s="420">
        <v>0</v>
      </c>
      <c r="C20" s="440">
        <v>0</v>
      </c>
      <c r="D20" s="440">
        <v>0</v>
      </c>
      <c r="E20" s="535">
        <v>10</v>
      </c>
      <c r="F20" s="385">
        <v>0</v>
      </c>
      <c r="G20" s="385">
        <v>10</v>
      </c>
      <c r="H20" s="535">
        <v>10</v>
      </c>
      <c r="I20" s="385">
        <v>0</v>
      </c>
      <c r="J20" s="385">
        <v>10</v>
      </c>
      <c r="K20" s="436"/>
    </row>
    <row r="21" spans="1:11" ht="15.75">
      <c r="A21" s="516" t="s">
        <v>604</v>
      </c>
      <c r="B21" s="420">
        <v>26.026</v>
      </c>
      <c r="C21" s="440">
        <v>5</v>
      </c>
      <c r="D21" s="440">
        <v>31.026</v>
      </c>
      <c r="E21" s="535">
        <v>86.26</v>
      </c>
      <c r="F21" s="385">
        <v>0</v>
      </c>
      <c r="G21" s="385">
        <v>86.26</v>
      </c>
      <c r="H21" s="535">
        <v>60.23400000000001</v>
      </c>
      <c r="I21" s="385">
        <v>-5</v>
      </c>
      <c r="J21" s="385">
        <v>55.23400000000001</v>
      </c>
      <c r="K21" s="436"/>
    </row>
    <row r="22" spans="1:11" ht="15.75">
      <c r="A22" s="516" t="s">
        <v>605</v>
      </c>
      <c r="B22" s="420">
        <v>497.404</v>
      </c>
      <c r="C22" s="440">
        <v>82.765</v>
      </c>
      <c r="D22" s="440">
        <v>580.169</v>
      </c>
      <c r="E22" s="535">
        <v>110</v>
      </c>
      <c r="F22" s="385">
        <v>0</v>
      </c>
      <c r="G22" s="385">
        <v>110</v>
      </c>
      <c r="H22" s="535">
        <v>-387.404</v>
      </c>
      <c r="I22" s="385">
        <v>-82.765</v>
      </c>
      <c r="J22" s="385">
        <v>-470.169</v>
      </c>
      <c r="K22" s="436"/>
    </row>
    <row r="23" spans="1:11" ht="15.75">
      <c r="A23" s="516" t="s">
        <v>606</v>
      </c>
      <c r="B23" s="420">
        <v>297</v>
      </c>
      <c r="C23" s="440">
        <v>0</v>
      </c>
      <c r="D23" s="440">
        <v>297</v>
      </c>
      <c r="E23" s="535">
        <v>0</v>
      </c>
      <c r="F23" s="385">
        <v>0</v>
      </c>
      <c r="G23" s="385">
        <v>0</v>
      </c>
      <c r="H23" s="535">
        <v>-297</v>
      </c>
      <c r="I23" s="385">
        <v>0</v>
      </c>
      <c r="J23" s="385">
        <v>-297</v>
      </c>
      <c r="K23" s="436"/>
    </row>
    <row r="24" spans="1:11" ht="15.75">
      <c r="A24" s="516" t="s">
        <v>607</v>
      </c>
      <c r="B24" s="420">
        <v>0.762</v>
      </c>
      <c r="C24" s="440">
        <v>2.12</v>
      </c>
      <c r="D24" s="440">
        <v>2.882</v>
      </c>
      <c r="E24" s="535">
        <v>4</v>
      </c>
      <c r="F24" s="385">
        <v>0</v>
      </c>
      <c r="G24" s="385">
        <v>4</v>
      </c>
      <c r="H24" s="535">
        <v>3.238</v>
      </c>
      <c r="I24" s="385">
        <v>-2.12</v>
      </c>
      <c r="J24" s="385">
        <v>1.1179999999999999</v>
      </c>
      <c r="K24" s="436"/>
    </row>
    <row r="25" spans="1:11" ht="15.75">
      <c r="A25" s="516" t="s">
        <v>608</v>
      </c>
      <c r="B25" s="420">
        <v>0</v>
      </c>
      <c r="C25" s="440">
        <v>0</v>
      </c>
      <c r="D25" s="440">
        <v>0</v>
      </c>
      <c r="E25" s="535">
        <v>1</v>
      </c>
      <c r="F25" s="385">
        <v>0</v>
      </c>
      <c r="G25" s="385">
        <v>1</v>
      </c>
      <c r="H25" s="535">
        <v>1</v>
      </c>
      <c r="I25" s="385">
        <v>0</v>
      </c>
      <c r="J25" s="385">
        <v>1</v>
      </c>
      <c r="K25" s="436"/>
    </row>
    <row r="26" spans="1:11" ht="15.75">
      <c r="A26" s="516" t="s">
        <v>609</v>
      </c>
      <c r="B26" s="420">
        <v>13</v>
      </c>
      <c r="C26" s="440">
        <v>0</v>
      </c>
      <c r="D26" s="440">
        <v>13</v>
      </c>
      <c r="E26" s="535">
        <v>0</v>
      </c>
      <c r="F26" s="385">
        <v>0</v>
      </c>
      <c r="G26" s="385">
        <v>0</v>
      </c>
      <c r="H26" s="535">
        <v>-13</v>
      </c>
      <c r="I26" s="385">
        <v>0</v>
      </c>
      <c r="J26" s="385">
        <v>-13</v>
      </c>
      <c r="K26" s="436"/>
    </row>
    <row r="27" spans="1:11" ht="15.75">
      <c r="A27" s="516" t="s">
        <v>610</v>
      </c>
      <c r="B27" s="420">
        <v>776.045</v>
      </c>
      <c r="C27" s="440">
        <v>8.088</v>
      </c>
      <c r="D27" s="440">
        <v>784.1329999999999</v>
      </c>
      <c r="E27" s="535">
        <v>103.09100000000001</v>
      </c>
      <c r="F27" s="385">
        <v>0</v>
      </c>
      <c r="G27" s="385">
        <v>103.09100000000001</v>
      </c>
      <c r="H27" s="535">
        <v>-672.954</v>
      </c>
      <c r="I27" s="385">
        <v>-8.088</v>
      </c>
      <c r="J27" s="385">
        <v>-681.0419999999999</v>
      </c>
      <c r="K27" s="436"/>
    </row>
    <row r="28" spans="1:11" ht="15.75">
      <c r="A28" s="516" t="s">
        <v>611</v>
      </c>
      <c r="B28" s="420">
        <v>15418.037</v>
      </c>
      <c r="C28" s="440">
        <v>718.122</v>
      </c>
      <c r="D28" s="440">
        <v>16136.159</v>
      </c>
      <c r="E28" s="535">
        <v>42735.313</v>
      </c>
      <c r="F28" s="385">
        <v>341</v>
      </c>
      <c r="G28" s="385">
        <v>43076.313</v>
      </c>
      <c r="H28" s="535">
        <v>27317.276</v>
      </c>
      <c r="I28" s="385">
        <v>-377.12199999999996</v>
      </c>
      <c r="J28" s="385">
        <v>26940.154000000002</v>
      </c>
      <c r="K28" s="436"/>
    </row>
    <row r="29" spans="1:11" ht="31.5">
      <c r="A29" s="516" t="s">
        <v>612</v>
      </c>
      <c r="B29" s="420">
        <v>27177.415999999997</v>
      </c>
      <c r="C29" s="440">
        <v>1651.354</v>
      </c>
      <c r="D29" s="440">
        <v>28828.77</v>
      </c>
      <c r="E29" s="535">
        <v>21325.167</v>
      </c>
      <c r="F29" s="385">
        <v>47</v>
      </c>
      <c r="G29" s="385">
        <v>21372.167</v>
      </c>
      <c r="H29" s="535">
        <v>-5852.248999999996</v>
      </c>
      <c r="I29" s="385">
        <v>-1604.354</v>
      </c>
      <c r="J29" s="385">
        <v>-7456.602999999999</v>
      </c>
      <c r="K29" s="436"/>
    </row>
    <row r="30" spans="1:11" ht="31.5">
      <c r="A30" s="516" t="s">
        <v>613</v>
      </c>
      <c r="B30" s="420">
        <v>128.684</v>
      </c>
      <c r="C30" s="440">
        <v>0</v>
      </c>
      <c r="D30" s="440">
        <v>128.684</v>
      </c>
      <c r="E30" s="535">
        <v>0</v>
      </c>
      <c r="F30" s="385">
        <v>0</v>
      </c>
      <c r="G30" s="385">
        <v>0</v>
      </c>
      <c r="H30" s="535">
        <v>-128.684</v>
      </c>
      <c r="I30" s="385">
        <v>0</v>
      </c>
      <c r="J30" s="385">
        <v>-128.684</v>
      </c>
      <c r="K30" s="436"/>
    </row>
    <row r="31" spans="1:11" ht="15.75">
      <c r="A31" s="516" t="s">
        <v>614</v>
      </c>
      <c r="B31" s="420">
        <v>0</v>
      </c>
      <c r="C31" s="440">
        <v>0</v>
      </c>
      <c r="D31" s="440">
        <v>0</v>
      </c>
      <c r="E31" s="535">
        <v>0</v>
      </c>
      <c r="F31" s="385">
        <v>0</v>
      </c>
      <c r="G31" s="385">
        <v>0</v>
      </c>
      <c r="H31" s="535">
        <v>0</v>
      </c>
      <c r="I31" s="385">
        <v>0</v>
      </c>
      <c r="J31" s="385">
        <v>0</v>
      </c>
      <c r="K31" s="436"/>
    </row>
    <row r="32" spans="1:11" ht="15.75">
      <c r="A32" s="516" t="s">
        <v>615</v>
      </c>
      <c r="B32" s="420">
        <v>0</v>
      </c>
      <c r="C32" s="440">
        <v>0</v>
      </c>
      <c r="D32" s="440">
        <v>0</v>
      </c>
      <c r="E32" s="535">
        <v>0</v>
      </c>
      <c r="F32" s="385">
        <v>0</v>
      </c>
      <c r="G32" s="385">
        <v>0</v>
      </c>
      <c r="H32" s="535">
        <v>0</v>
      </c>
      <c r="I32" s="385">
        <v>0</v>
      </c>
      <c r="J32" s="385">
        <v>0</v>
      </c>
      <c r="K32" s="436"/>
    </row>
    <row r="33" spans="1:11" ht="15.75">
      <c r="A33" s="516" t="s">
        <v>616</v>
      </c>
      <c r="B33" s="420">
        <v>0</v>
      </c>
      <c r="C33" s="440">
        <v>0</v>
      </c>
      <c r="D33" s="440">
        <v>0</v>
      </c>
      <c r="E33" s="535">
        <v>184</v>
      </c>
      <c r="F33" s="385">
        <v>0</v>
      </c>
      <c r="G33" s="385">
        <v>184</v>
      </c>
      <c r="H33" s="535">
        <v>184</v>
      </c>
      <c r="I33" s="385">
        <v>0</v>
      </c>
      <c r="J33" s="385">
        <v>184</v>
      </c>
      <c r="K33" s="436"/>
    </row>
    <row r="34" spans="1:11" ht="15.75">
      <c r="A34" s="516" t="s">
        <v>617</v>
      </c>
      <c r="B34" s="420">
        <v>0</v>
      </c>
      <c r="C34" s="440">
        <v>0</v>
      </c>
      <c r="D34" s="440">
        <v>0</v>
      </c>
      <c r="E34" s="535">
        <v>0</v>
      </c>
      <c r="F34" s="385">
        <v>0</v>
      </c>
      <c r="G34" s="385">
        <v>0</v>
      </c>
      <c r="H34" s="535">
        <v>0</v>
      </c>
      <c r="I34" s="385">
        <v>0</v>
      </c>
      <c r="J34" s="385">
        <v>0</v>
      </c>
      <c r="K34" s="436"/>
    </row>
    <row r="35" spans="1:11" ht="15.75">
      <c r="A35" s="516" t="s">
        <v>618</v>
      </c>
      <c r="B35" s="420">
        <v>0</v>
      </c>
      <c r="C35" s="440">
        <v>0</v>
      </c>
      <c r="D35" s="440">
        <v>0</v>
      </c>
      <c r="E35" s="535">
        <v>0</v>
      </c>
      <c r="F35" s="385">
        <v>0</v>
      </c>
      <c r="G35" s="385">
        <v>0</v>
      </c>
      <c r="H35" s="535">
        <v>0</v>
      </c>
      <c r="I35" s="385">
        <v>0</v>
      </c>
      <c r="J35" s="385">
        <v>0</v>
      </c>
      <c r="K35" s="436"/>
    </row>
    <row r="36" spans="1:11" ht="15.75">
      <c r="A36" s="516" t="s">
        <v>619</v>
      </c>
      <c r="B36" s="420">
        <v>0</v>
      </c>
      <c r="C36" s="440">
        <v>0</v>
      </c>
      <c r="D36" s="440">
        <v>0</v>
      </c>
      <c r="E36" s="535">
        <v>0</v>
      </c>
      <c r="F36" s="385">
        <v>0</v>
      </c>
      <c r="G36" s="385">
        <v>0</v>
      </c>
      <c r="H36" s="535">
        <v>0</v>
      </c>
      <c r="I36" s="385">
        <v>0</v>
      </c>
      <c r="J36" s="385">
        <v>0</v>
      </c>
      <c r="K36" s="436"/>
    </row>
    <row r="37" spans="1:11" ht="24.75" customHeight="1">
      <c r="A37" s="516" t="s">
        <v>620</v>
      </c>
      <c r="B37" s="420">
        <v>4898</v>
      </c>
      <c r="C37" s="440">
        <v>0</v>
      </c>
      <c r="D37" s="440">
        <v>4898</v>
      </c>
      <c r="E37" s="535">
        <v>17584</v>
      </c>
      <c r="F37" s="385">
        <v>0</v>
      </c>
      <c r="G37" s="385">
        <v>17584</v>
      </c>
      <c r="H37" s="535">
        <v>12686</v>
      </c>
      <c r="I37" s="385">
        <v>0</v>
      </c>
      <c r="J37" s="385">
        <v>12686</v>
      </c>
      <c r="K37" s="436"/>
    </row>
    <row r="38" spans="1:11" ht="15.75">
      <c r="A38" s="516" t="s">
        <v>621</v>
      </c>
      <c r="B38" s="420">
        <v>43</v>
      </c>
      <c r="C38" s="440">
        <v>0</v>
      </c>
      <c r="D38" s="440">
        <v>43</v>
      </c>
      <c r="E38" s="535">
        <v>101</v>
      </c>
      <c r="F38" s="385">
        <v>0</v>
      </c>
      <c r="G38" s="385">
        <v>101</v>
      </c>
      <c r="H38" s="535">
        <v>58</v>
      </c>
      <c r="I38" s="385">
        <v>0</v>
      </c>
      <c r="J38" s="385">
        <v>58</v>
      </c>
      <c r="K38" s="436"/>
    </row>
    <row r="39" spans="1:11" ht="15.75">
      <c r="A39" s="516" t="s">
        <v>622</v>
      </c>
      <c r="B39" s="420">
        <v>283.456</v>
      </c>
      <c r="C39" s="440">
        <v>-846.468</v>
      </c>
      <c r="D39" s="440">
        <v>-563.012</v>
      </c>
      <c r="E39" s="535">
        <v>-57</v>
      </c>
      <c r="F39" s="385">
        <v>716</v>
      </c>
      <c r="G39" s="385">
        <v>659</v>
      </c>
      <c r="H39" s="535">
        <v>-340.456</v>
      </c>
      <c r="I39" s="385">
        <v>1562.4679999999998</v>
      </c>
      <c r="J39" s="385">
        <v>1222.012</v>
      </c>
      <c r="K39" s="436"/>
    </row>
    <row r="40" spans="1:11" ht="15.75">
      <c r="A40" s="516" t="s">
        <v>623</v>
      </c>
      <c r="B40" s="420">
        <v>0</v>
      </c>
      <c r="C40" s="440">
        <v>0</v>
      </c>
      <c r="D40" s="440">
        <v>0</v>
      </c>
      <c r="E40" s="535">
        <v>0</v>
      </c>
      <c r="F40" s="385">
        <v>0</v>
      </c>
      <c r="G40" s="385">
        <v>0</v>
      </c>
      <c r="H40" s="535">
        <v>0</v>
      </c>
      <c r="I40" s="385">
        <v>0</v>
      </c>
      <c r="J40" s="385">
        <v>0</v>
      </c>
      <c r="K40" s="436"/>
    </row>
    <row r="41" spans="1:11" ht="15.75">
      <c r="A41" s="508" t="s">
        <v>155</v>
      </c>
      <c r="B41" s="536">
        <v>1042775.2770000001</v>
      </c>
      <c r="C41" s="536">
        <v>79167.61700000003</v>
      </c>
      <c r="D41" s="536">
        <v>1121942.8939999999</v>
      </c>
      <c r="E41" s="456">
        <v>1249837.1440000003</v>
      </c>
      <c r="F41" s="456">
        <v>24554</v>
      </c>
      <c r="G41" s="456">
        <v>1274391.1440000003</v>
      </c>
      <c r="H41" s="456">
        <v>207061.8670000001</v>
      </c>
      <c r="I41" s="456">
        <v>-54613.61700000001</v>
      </c>
      <c r="J41" s="456">
        <v>152448.25</v>
      </c>
      <c r="K41" s="437"/>
    </row>
    <row r="42" spans="7:10" ht="15">
      <c r="G42" s="441"/>
      <c r="H42" s="441"/>
      <c r="I42" s="441"/>
      <c r="J42" s="441"/>
    </row>
  </sheetData>
  <mergeCells count="5">
    <mergeCell ref="A1:J1"/>
    <mergeCell ref="B2:D2"/>
    <mergeCell ref="E2:G2"/>
    <mergeCell ref="H2:J2"/>
    <mergeCell ref="A2:A3"/>
  </mergeCells>
  <printOptions horizontalCentered="1" verticalCentered="1"/>
  <pageMargins left="0.7874015748031497" right="0.7874015748031497" top="0.5118110236220472" bottom="0.51" header="0.5118110236220472" footer="0.52"/>
  <pageSetup fitToHeight="1" fitToWidth="1" horizontalDpi="600" verticalDpi="600" orientation="landscape" paperSize="9" scale="67" r:id="rId1"/>
  <rowBreaks count="1" manualBreakCount="1">
    <brk id="41" max="255" man="1"/>
  </rowBreaks>
  <colBreaks count="1" manualBreakCount="1">
    <brk id="10" max="65535" man="1"/>
  </colBreaks>
</worksheet>
</file>

<file path=xl/worksheets/sheet39.xml><?xml version="1.0" encoding="utf-8"?>
<worksheet xmlns="http://schemas.openxmlformats.org/spreadsheetml/2006/main" xmlns:r="http://schemas.openxmlformats.org/officeDocument/2006/relationships">
  <sheetPr>
    <tabColor indexed="11"/>
    <pageSetUpPr fitToPage="1"/>
  </sheetPr>
  <dimension ref="A1:K23"/>
  <sheetViews>
    <sheetView workbookViewId="0" topLeftCell="A1">
      <selection activeCell="G24" sqref="G24"/>
    </sheetView>
  </sheetViews>
  <sheetFormatPr defaultColWidth="9.140625" defaultRowHeight="12.75"/>
  <cols>
    <col min="1" max="1" width="23.57421875" style="442" customWidth="1"/>
    <col min="2" max="2" width="13.28125" style="447" customWidth="1"/>
    <col min="3" max="3" width="13.8515625" style="447" customWidth="1"/>
    <col min="4" max="4" width="14.421875" style="442" customWidth="1"/>
    <col min="5" max="6" width="15.7109375" style="447" customWidth="1"/>
    <col min="7" max="7" width="15.421875" style="442" customWidth="1"/>
    <col min="8" max="8" width="12.8515625" style="442" customWidth="1"/>
    <col min="9" max="9" width="13.57421875" style="442" customWidth="1"/>
    <col min="10" max="10" width="13.7109375" style="442" customWidth="1"/>
    <col min="11" max="16384" width="9.140625" style="442" customWidth="1"/>
  </cols>
  <sheetData>
    <row r="1" spans="1:10" ht="75" customHeight="1">
      <c r="A1" s="606" t="s">
        <v>653</v>
      </c>
      <c r="B1" s="606"/>
      <c r="C1" s="606"/>
      <c r="D1" s="606"/>
      <c r="E1" s="606"/>
      <c r="F1" s="606"/>
      <c r="G1" s="606"/>
      <c r="H1" s="606"/>
      <c r="I1" s="606"/>
      <c r="J1" s="606"/>
    </row>
    <row r="2" spans="1:10" ht="75" customHeight="1">
      <c r="A2" s="443" t="s">
        <v>154</v>
      </c>
      <c r="B2" s="413" t="s">
        <v>1</v>
      </c>
      <c r="C2" s="413" t="s">
        <v>634</v>
      </c>
      <c r="D2" s="413" t="s">
        <v>635</v>
      </c>
      <c r="E2" s="413" t="s">
        <v>544</v>
      </c>
      <c r="F2" s="413" t="s">
        <v>585</v>
      </c>
      <c r="G2" s="443" t="s">
        <v>636</v>
      </c>
      <c r="H2" s="443" t="s">
        <v>545</v>
      </c>
      <c r="I2" s="443" t="s">
        <v>586</v>
      </c>
      <c r="J2" s="413" t="s">
        <v>637</v>
      </c>
    </row>
    <row r="3" spans="1:10" ht="15.75">
      <c r="A3" s="444" t="s">
        <v>60</v>
      </c>
      <c r="B3" s="445">
        <v>285106.161</v>
      </c>
      <c r="C3" s="445">
        <v>334367.1440000001</v>
      </c>
      <c r="D3" s="446">
        <v>-49260.983000000066</v>
      </c>
      <c r="E3" s="445">
        <v>0</v>
      </c>
      <c r="F3" s="445">
        <v>0</v>
      </c>
      <c r="G3" s="537">
        <v>0</v>
      </c>
      <c r="H3" s="445">
        <v>285106.161</v>
      </c>
      <c r="I3" s="445">
        <v>334367.1440000001</v>
      </c>
      <c r="J3" s="446">
        <v>-49260.983000000066</v>
      </c>
    </row>
    <row r="4" spans="1:11" ht="15.75">
      <c r="A4" s="444" t="s">
        <v>78</v>
      </c>
      <c r="B4" s="445">
        <v>32150</v>
      </c>
      <c r="C4" s="445">
        <v>32004</v>
      </c>
      <c r="D4" s="445">
        <v>146</v>
      </c>
      <c r="E4" s="445">
        <v>6894</v>
      </c>
      <c r="F4" s="445">
        <v>6694</v>
      </c>
      <c r="G4" s="537">
        <v>200</v>
      </c>
      <c r="H4" s="445">
        <v>39044</v>
      </c>
      <c r="I4" s="445">
        <v>38698</v>
      </c>
      <c r="J4" s="446">
        <v>346</v>
      </c>
      <c r="K4" s="447"/>
    </row>
    <row r="5" spans="1:11" ht="15.75">
      <c r="A5" s="444" t="s">
        <v>80</v>
      </c>
      <c r="B5" s="445">
        <v>55852</v>
      </c>
      <c r="C5" s="445">
        <v>47865</v>
      </c>
      <c r="D5" s="445">
        <v>7987</v>
      </c>
      <c r="E5" s="445">
        <v>0</v>
      </c>
      <c r="F5" s="445">
        <v>0</v>
      </c>
      <c r="G5" s="537">
        <v>0</v>
      </c>
      <c r="H5" s="445">
        <v>55852</v>
      </c>
      <c r="I5" s="445">
        <v>47865</v>
      </c>
      <c r="J5" s="446">
        <v>7987</v>
      </c>
      <c r="K5" s="447"/>
    </row>
    <row r="6" spans="1:10" ht="15.75">
      <c r="A6" s="444" t="s">
        <v>87</v>
      </c>
      <c r="B6" s="445">
        <v>2812</v>
      </c>
      <c r="C6" s="445">
        <v>2708</v>
      </c>
      <c r="D6" s="445">
        <v>104</v>
      </c>
      <c r="E6" s="445">
        <v>0</v>
      </c>
      <c r="F6" s="445">
        <v>0</v>
      </c>
      <c r="G6" s="537">
        <v>0</v>
      </c>
      <c r="H6" s="445">
        <v>2812</v>
      </c>
      <c r="I6" s="445">
        <v>2708</v>
      </c>
      <c r="J6" s="446">
        <v>104</v>
      </c>
    </row>
    <row r="7" spans="1:10" ht="15.75">
      <c r="A7" s="444" t="s">
        <v>90</v>
      </c>
      <c r="B7" s="445">
        <v>19559</v>
      </c>
      <c r="C7" s="445">
        <v>19521</v>
      </c>
      <c r="D7" s="445">
        <v>38</v>
      </c>
      <c r="E7" s="445">
        <v>0</v>
      </c>
      <c r="F7" s="445">
        <v>0</v>
      </c>
      <c r="G7" s="537">
        <v>0</v>
      </c>
      <c r="H7" s="445">
        <v>19559</v>
      </c>
      <c r="I7" s="445">
        <v>19521</v>
      </c>
      <c r="J7" s="446">
        <v>38</v>
      </c>
    </row>
    <row r="8" spans="1:11" ht="15.75">
      <c r="A8" s="444" t="s">
        <v>91</v>
      </c>
      <c r="B8" s="445">
        <v>36306</v>
      </c>
      <c r="C8" s="445">
        <v>34093</v>
      </c>
      <c r="D8" s="445">
        <v>2213</v>
      </c>
      <c r="E8" s="445">
        <v>0</v>
      </c>
      <c r="F8" s="445">
        <v>0</v>
      </c>
      <c r="G8" s="537">
        <v>0</v>
      </c>
      <c r="H8" s="445">
        <v>36306</v>
      </c>
      <c r="I8" s="445">
        <v>34093</v>
      </c>
      <c r="J8" s="446">
        <v>2213</v>
      </c>
      <c r="K8" s="447"/>
    </row>
    <row r="9" spans="1:11" ht="15.75">
      <c r="A9" s="444" t="s">
        <v>638</v>
      </c>
      <c r="B9" s="445">
        <v>67570</v>
      </c>
      <c r="C9" s="445">
        <v>74629</v>
      </c>
      <c r="D9" s="446">
        <v>-7059</v>
      </c>
      <c r="E9" s="445">
        <v>0</v>
      </c>
      <c r="F9" s="445">
        <v>0</v>
      </c>
      <c r="G9" s="537">
        <v>0</v>
      </c>
      <c r="H9" s="445">
        <v>67570</v>
      </c>
      <c r="I9" s="445">
        <v>74629</v>
      </c>
      <c r="J9" s="446">
        <v>-7059</v>
      </c>
      <c r="K9" s="447"/>
    </row>
    <row r="10" spans="1:11" ht="15.75">
      <c r="A10" s="444" t="s">
        <v>98</v>
      </c>
      <c r="B10" s="445">
        <v>2202</v>
      </c>
      <c r="C10" s="445">
        <v>2202</v>
      </c>
      <c r="D10" s="446">
        <v>0</v>
      </c>
      <c r="E10" s="445">
        <v>0</v>
      </c>
      <c r="F10" s="445">
        <v>0</v>
      </c>
      <c r="G10" s="537">
        <v>0</v>
      </c>
      <c r="H10" s="445">
        <v>2202</v>
      </c>
      <c r="I10" s="445">
        <v>2202</v>
      </c>
      <c r="J10" s="446">
        <v>0</v>
      </c>
      <c r="K10" s="447"/>
    </row>
    <row r="11" spans="1:11" ht="15.75">
      <c r="A11" s="444" t="s">
        <v>101</v>
      </c>
      <c r="B11" s="445">
        <v>212568.9</v>
      </c>
      <c r="C11" s="445">
        <v>211341</v>
      </c>
      <c r="D11" s="446">
        <v>1227.8999999999942</v>
      </c>
      <c r="E11" s="445">
        <v>19446</v>
      </c>
      <c r="F11" s="445">
        <v>15260</v>
      </c>
      <c r="G11" s="537">
        <v>4186</v>
      </c>
      <c r="H11" s="445">
        <v>232014.9</v>
      </c>
      <c r="I11" s="445">
        <v>226601</v>
      </c>
      <c r="J11" s="446">
        <v>5413.899999999994</v>
      </c>
      <c r="K11" s="447"/>
    </row>
    <row r="12" spans="1:11" ht="15.75">
      <c r="A12" s="444" t="s">
        <v>106</v>
      </c>
      <c r="B12" s="445">
        <v>151030</v>
      </c>
      <c r="C12" s="445">
        <v>150427</v>
      </c>
      <c r="D12" s="446">
        <v>603</v>
      </c>
      <c r="E12" s="445">
        <v>0</v>
      </c>
      <c r="F12" s="445">
        <v>0</v>
      </c>
      <c r="G12" s="537">
        <v>0</v>
      </c>
      <c r="H12" s="445">
        <v>151030</v>
      </c>
      <c r="I12" s="445">
        <v>150427</v>
      </c>
      <c r="J12" s="446">
        <v>603</v>
      </c>
      <c r="K12" s="447"/>
    </row>
    <row r="13" spans="1:11" ht="15.75">
      <c r="A13" s="444" t="s">
        <v>111</v>
      </c>
      <c r="B13" s="445">
        <v>98550</v>
      </c>
      <c r="C13" s="445">
        <v>84830</v>
      </c>
      <c r="D13" s="446">
        <v>13720</v>
      </c>
      <c r="E13" s="445">
        <v>0</v>
      </c>
      <c r="F13" s="445">
        <v>0</v>
      </c>
      <c r="G13" s="537">
        <v>0</v>
      </c>
      <c r="H13" s="445">
        <v>98550</v>
      </c>
      <c r="I13" s="445">
        <v>84830</v>
      </c>
      <c r="J13" s="446">
        <v>13720</v>
      </c>
      <c r="K13" s="447"/>
    </row>
    <row r="14" spans="1:11" ht="15.75">
      <c r="A14" s="444" t="s">
        <v>115</v>
      </c>
      <c r="B14" s="445">
        <v>13009</v>
      </c>
      <c r="C14" s="445">
        <v>11907</v>
      </c>
      <c r="D14" s="446">
        <v>1102</v>
      </c>
      <c r="E14" s="445">
        <v>0</v>
      </c>
      <c r="F14" s="445">
        <v>0</v>
      </c>
      <c r="G14" s="537">
        <v>0</v>
      </c>
      <c r="H14" s="445">
        <v>13009</v>
      </c>
      <c r="I14" s="445">
        <v>11907</v>
      </c>
      <c r="J14" s="446">
        <v>1102</v>
      </c>
      <c r="K14" s="447"/>
    </row>
    <row r="15" spans="1:11" ht="15.75">
      <c r="A15" s="444" t="s">
        <v>120</v>
      </c>
      <c r="B15" s="445">
        <v>110931</v>
      </c>
      <c r="C15" s="445">
        <v>101749</v>
      </c>
      <c r="D15" s="446">
        <v>9182</v>
      </c>
      <c r="E15" s="445">
        <v>0</v>
      </c>
      <c r="F15" s="445">
        <v>0</v>
      </c>
      <c r="G15" s="537">
        <v>0</v>
      </c>
      <c r="H15" s="445">
        <v>110931</v>
      </c>
      <c r="I15" s="445">
        <v>101749</v>
      </c>
      <c r="J15" s="446">
        <v>9182</v>
      </c>
      <c r="K15" s="447"/>
    </row>
    <row r="16" spans="1:11" ht="15.75">
      <c r="A16" s="444" t="s">
        <v>127</v>
      </c>
      <c r="B16" s="445">
        <v>53986</v>
      </c>
      <c r="C16" s="445">
        <v>53986</v>
      </c>
      <c r="D16" s="446">
        <v>0</v>
      </c>
      <c r="E16" s="445">
        <v>1803</v>
      </c>
      <c r="F16" s="445">
        <v>1803</v>
      </c>
      <c r="G16" s="537">
        <v>0</v>
      </c>
      <c r="H16" s="445">
        <v>55789</v>
      </c>
      <c r="I16" s="445">
        <v>55789</v>
      </c>
      <c r="J16" s="446">
        <v>0</v>
      </c>
      <c r="K16" s="447"/>
    </row>
    <row r="17" spans="1:10" ht="15.75">
      <c r="A17" s="444" t="s">
        <v>133</v>
      </c>
      <c r="B17" s="445">
        <v>38993</v>
      </c>
      <c r="C17" s="445">
        <v>37414</v>
      </c>
      <c r="D17" s="446">
        <v>1579</v>
      </c>
      <c r="E17" s="445">
        <v>0</v>
      </c>
      <c r="F17" s="445">
        <v>0</v>
      </c>
      <c r="G17" s="537">
        <v>0</v>
      </c>
      <c r="H17" s="445">
        <v>38993</v>
      </c>
      <c r="I17" s="445">
        <v>37414</v>
      </c>
      <c r="J17" s="446">
        <v>1579</v>
      </c>
    </row>
    <row r="18" spans="1:10" ht="15.75">
      <c r="A18" s="444" t="s">
        <v>137</v>
      </c>
      <c r="B18" s="445">
        <v>2166</v>
      </c>
      <c r="C18" s="445">
        <v>2166</v>
      </c>
      <c r="D18" s="446">
        <v>0</v>
      </c>
      <c r="E18" s="445">
        <v>0</v>
      </c>
      <c r="F18" s="445">
        <v>0</v>
      </c>
      <c r="G18" s="537">
        <v>0</v>
      </c>
      <c r="H18" s="445">
        <v>2166</v>
      </c>
      <c r="I18" s="445">
        <v>2166</v>
      </c>
      <c r="J18" s="446">
        <v>0</v>
      </c>
    </row>
    <row r="19" spans="1:10" ht="15.75">
      <c r="A19" s="444" t="s">
        <v>141</v>
      </c>
      <c r="B19" s="445">
        <v>0</v>
      </c>
      <c r="C19" s="445">
        <v>0</v>
      </c>
      <c r="D19" s="446">
        <v>0</v>
      </c>
      <c r="E19" s="445">
        <v>0</v>
      </c>
      <c r="F19" s="445">
        <v>0</v>
      </c>
      <c r="G19" s="537">
        <v>0</v>
      </c>
      <c r="H19" s="445">
        <v>0</v>
      </c>
      <c r="I19" s="445">
        <v>0</v>
      </c>
      <c r="J19" s="446">
        <v>0</v>
      </c>
    </row>
    <row r="20" spans="1:10" ht="15.75">
      <c r="A20" s="444" t="s">
        <v>639</v>
      </c>
      <c r="B20" s="445">
        <v>1204</v>
      </c>
      <c r="C20" s="445">
        <v>2013</v>
      </c>
      <c r="D20" s="446">
        <v>-809</v>
      </c>
      <c r="E20" s="445">
        <v>1208</v>
      </c>
      <c r="F20" s="445">
        <v>797</v>
      </c>
      <c r="G20" s="537">
        <v>411</v>
      </c>
      <c r="H20" s="445">
        <v>2412</v>
      </c>
      <c r="I20" s="445">
        <v>2810</v>
      </c>
      <c r="J20" s="446">
        <v>-398</v>
      </c>
    </row>
    <row r="21" spans="1:10" ht="15.75">
      <c r="A21" s="444" t="s">
        <v>146</v>
      </c>
      <c r="B21" s="445">
        <v>28102</v>
      </c>
      <c r="C21" s="445">
        <v>29882</v>
      </c>
      <c r="D21" s="446">
        <v>-1780</v>
      </c>
      <c r="E21" s="445">
        <v>801</v>
      </c>
      <c r="F21" s="445">
        <v>0</v>
      </c>
      <c r="G21" s="537">
        <v>801</v>
      </c>
      <c r="H21" s="445">
        <v>28903</v>
      </c>
      <c r="I21" s="445">
        <v>29882</v>
      </c>
      <c r="J21" s="446">
        <v>-979</v>
      </c>
    </row>
    <row r="22" spans="1:10" ht="15.75">
      <c r="A22" s="444" t="s">
        <v>147</v>
      </c>
      <c r="B22" s="445">
        <v>14507</v>
      </c>
      <c r="C22" s="445">
        <v>16733</v>
      </c>
      <c r="D22" s="446">
        <v>-2226</v>
      </c>
      <c r="E22" s="445">
        <v>0</v>
      </c>
      <c r="F22" s="445">
        <v>0</v>
      </c>
      <c r="G22" s="537">
        <v>0</v>
      </c>
      <c r="H22" s="445">
        <v>14507</v>
      </c>
      <c r="I22" s="445">
        <v>16733</v>
      </c>
      <c r="J22" s="446">
        <v>-2226</v>
      </c>
    </row>
    <row r="23" spans="1:10" ht="21" customHeight="1">
      <c r="A23" s="448" t="s">
        <v>155</v>
      </c>
      <c r="B23" s="449">
        <v>1226604.061</v>
      </c>
      <c r="C23" s="449">
        <v>1249837.144</v>
      </c>
      <c r="D23" s="450">
        <v>-23233.08300000007</v>
      </c>
      <c r="E23" s="449">
        <v>30152</v>
      </c>
      <c r="F23" s="449">
        <v>24554</v>
      </c>
      <c r="G23" s="538">
        <v>5598</v>
      </c>
      <c r="H23" s="449">
        <v>1256756.061</v>
      </c>
      <c r="I23" s="449">
        <v>1274391.144</v>
      </c>
      <c r="J23" s="450">
        <v>-17635.08300000007</v>
      </c>
    </row>
  </sheetData>
  <mergeCells count="1">
    <mergeCell ref="A1:J1"/>
  </mergeCells>
  <conditionalFormatting sqref="D3:D23 J3:J23 G3:G22">
    <cfRule type="cellIs" priority="1" dxfId="2" operator="greaterThanOrEqual" stopIfTrue="1">
      <formula>0</formula>
    </cfRule>
    <cfRule type="cellIs" priority="2" dxfId="1" operator="lessThan" stopIfTrue="1">
      <formula>0</formula>
    </cfRule>
  </conditionalFormatting>
  <printOptions/>
  <pageMargins left="0.75" right="0.65" top="1" bottom="1" header="0.4921259845" footer="0.4921259845"/>
  <pageSetup fitToHeight="1" fitToWidth="1" horizontalDpi="600" verticalDpi="600" orientation="landscape" paperSize="9" scale="87"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sheetPr codeName="Hárok4">
    <tabColor indexed="42"/>
    <pageSetUpPr fitToPage="1"/>
  </sheetPr>
  <dimension ref="A1:N39"/>
  <sheetViews>
    <sheetView zoomScale="85" zoomScaleNormal="85" zoomScaleSheetLayoutView="85" workbookViewId="0" topLeftCell="A1">
      <pane xSplit="1" ySplit="2" topLeftCell="B3" activePane="bottomRight" state="frozen"/>
      <selection pane="topLeft" activeCell="C12" sqref="C12"/>
      <selection pane="topRight" activeCell="C12" sqref="C12"/>
      <selection pane="bottomLeft" activeCell="C12" sqref="C12"/>
      <selection pane="bottomRight" activeCell="G25" sqref="G25"/>
    </sheetView>
  </sheetViews>
  <sheetFormatPr defaultColWidth="9.140625" defaultRowHeight="12.75"/>
  <cols>
    <col min="1" max="1" width="25.7109375" style="4" customWidth="1"/>
    <col min="2" max="14" width="15.7109375" style="0" customWidth="1"/>
  </cols>
  <sheetData>
    <row r="1" spans="1:14" ht="75" customHeight="1">
      <c r="A1" s="568" t="s">
        <v>264</v>
      </c>
      <c r="B1" s="568"/>
      <c r="C1" s="568"/>
      <c r="D1" s="568"/>
      <c r="E1" s="568"/>
      <c r="F1" s="568"/>
      <c r="G1" s="568"/>
      <c r="H1" s="568"/>
      <c r="I1" s="568"/>
      <c r="J1" s="568"/>
      <c r="K1" s="568"/>
      <c r="L1" s="568"/>
      <c r="M1" s="568"/>
      <c r="N1" s="568"/>
    </row>
    <row r="2" spans="1:14" ht="110.25" customHeight="1">
      <c r="A2" s="132" t="s">
        <v>154</v>
      </c>
      <c r="B2" s="132" t="s">
        <v>284</v>
      </c>
      <c r="C2" s="132" t="s">
        <v>285</v>
      </c>
      <c r="D2" s="132" t="s">
        <v>286</v>
      </c>
      <c r="E2" s="132" t="s">
        <v>287</v>
      </c>
      <c r="F2" s="132" t="s">
        <v>220</v>
      </c>
      <c r="G2" s="132" t="s">
        <v>288</v>
      </c>
      <c r="H2" s="132" t="s">
        <v>654</v>
      </c>
      <c r="I2" s="132" t="s">
        <v>289</v>
      </c>
      <c r="J2" s="132" t="s">
        <v>290</v>
      </c>
      <c r="K2" s="132" t="s">
        <v>299</v>
      </c>
      <c r="L2" s="102" t="s">
        <v>21</v>
      </c>
      <c r="M2" s="103" t="s">
        <v>22</v>
      </c>
      <c r="N2" s="102" t="s">
        <v>23</v>
      </c>
    </row>
    <row r="3" spans="1:14" ht="15">
      <c r="A3" s="111" t="s">
        <v>60</v>
      </c>
      <c r="B3" s="163">
        <v>4162</v>
      </c>
      <c r="C3" s="163">
        <v>1496</v>
      </c>
      <c r="D3" s="163">
        <v>828</v>
      </c>
      <c r="E3" s="163">
        <v>80</v>
      </c>
      <c r="F3" s="164">
        <f aca="true" t="shared" si="0" ref="F3:F20">SUM(B3:E3)</f>
        <v>6566</v>
      </c>
      <c r="G3" s="163">
        <v>4127</v>
      </c>
      <c r="H3" s="163">
        <v>1655</v>
      </c>
      <c r="I3" s="163">
        <v>776</v>
      </c>
      <c r="J3" s="163">
        <v>74</v>
      </c>
      <c r="K3" s="148">
        <f>SUM(G3:J3)</f>
        <v>6632</v>
      </c>
      <c r="L3" s="150">
        <f aca="true" t="shared" si="1" ref="L3:L22">+G3+I3-B3-D3</f>
        <v>-87</v>
      </c>
      <c r="M3" s="152">
        <f aca="true" t="shared" si="2" ref="M3:M22">+H3+J3-C3-E3</f>
        <v>153</v>
      </c>
      <c r="N3" s="150">
        <f>+L3+M3</f>
        <v>66</v>
      </c>
    </row>
    <row r="4" spans="1:14" ht="15">
      <c r="A4" s="111" t="s">
        <v>78</v>
      </c>
      <c r="B4" s="163">
        <v>1170</v>
      </c>
      <c r="C4" s="163">
        <v>167</v>
      </c>
      <c r="D4" s="163">
        <v>318</v>
      </c>
      <c r="E4" s="163">
        <v>0</v>
      </c>
      <c r="F4" s="164">
        <f t="shared" si="0"/>
        <v>1655</v>
      </c>
      <c r="G4" s="163">
        <v>1676</v>
      </c>
      <c r="H4" s="163">
        <v>127</v>
      </c>
      <c r="I4" s="163">
        <v>318</v>
      </c>
      <c r="J4" s="163">
        <v>0</v>
      </c>
      <c r="K4" s="148">
        <f aca="true" t="shared" si="3" ref="K4:K29">SUM(G4:J4)</f>
        <v>2121</v>
      </c>
      <c r="L4" s="150">
        <f t="shared" si="1"/>
        <v>506</v>
      </c>
      <c r="M4" s="152">
        <f t="shared" si="2"/>
        <v>-40</v>
      </c>
      <c r="N4" s="150">
        <f aca="true" t="shared" si="4" ref="N4:N21">+L4+M4</f>
        <v>466</v>
      </c>
    </row>
    <row r="5" spans="1:14" ht="15">
      <c r="A5" s="111" t="s">
        <v>80</v>
      </c>
      <c r="B5" s="163">
        <v>1809</v>
      </c>
      <c r="C5" s="163">
        <v>1137</v>
      </c>
      <c r="D5" s="163">
        <v>19</v>
      </c>
      <c r="E5" s="163">
        <v>15</v>
      </c>
      <c r="F5" s="164">
        <f t="shared" si="0"/>
        <v>2980</v>
      </c>
      <c r="G5" s="163">
        <v>2057</v>
      </c>
      <c r="H5" s="163">
        <v>1457</v>
      </c>
      <c r="I5" s="163">
        <v>21</v>
      </c>
      <c r="J5" s="163">
        <v>27</v>
      </c>
      <c r="K5" s="148">
        <f t="shared" si="3"/>
        <v>3562</v>
      </c>
      <c r="L5" s="150">
        <f t="shared" si="1"/>
        <v>250</v>
      </c>
      <c r="M5" s="152">
        <f t="shared" si="2"/>
        <v>332</v>
      </c>
      <c r="N5" s="150">
        <f t="shared" si="4"/>
        <v>582</v>
      </c>
    </row>
    <row r="6" spans="1:14" ht="15">
      <c r="A6" s="111" t="s">
        <v>87</v>
      </c>
      <c r="B6" s="163">
        <v>926</v>
      </c>
      <c r="C6" s="163">
        <v>991</v>
      </c>
      <c r="D6" s="163">
        <v>0</v>
      </c>
      <c r="E6" s="163">
        <v>0</v>
      </c>
      <c r="F6" s="164">
        <f t="shared" si="0"/>
        <v>1917</v>
      </c>
      <c r="G6" s="163">
        <v>1473</v>
      </c>
      <c r="H6" s="163">
        <v>1265</v>
      </c>
      <c r="I6" s="163">
        <v>0</v>
      </c>
      <c r="J6" s="163">
        <v>0</v>
      </c>
      <c r="K6" s="148">
        <f t="shared" si="3"/>
        <v>2738</v>
      </c>
      <c r="L6" s="150">
        <f t="shared" si="1"/>
        <v>547</v>
      </c>
      <c r="M6" s="152">
        <f t="shared" si="2"/>
        <v>274</v>
      </c>
      <c r="N6" s="150">
        <f t="shared" si="4"/>
        <v>821</v>
      </c>
    </row>
    <row r="7" spans="1:14" ht="15">
      <c r="A7" s="111" t="s">
        <v>90</v>
      </c>
      <c r="B7" s="163">
        <v>44</v>
      </c>
      <c r="C7" s="163">
        <v>42</v>
      </c>
      <c r="D7" s="163">
        <v>164</v>
      </c>
      <c r="E7" s="163">
        <v>0</v>
      </c>
      <c r="F7" s="164">
        <f t="shared" si="0"/>
        <v>250</v>
      </c>
      <c r="G7" s="163">
        <v>43</v>
      </c>
      <c r="H7" s="163">
        <v>39</v>
      </c>
      <c r="I7" s="163">
        <v>240</v>
      </c>
      <c r="J7" s="163">
        <v>0</v>
      </c>
      <c r="K7" s="148">
        <f t="shared" si="3"/>
        <v>322</v>
      </c>
      <c r="L7" s="150">
        <f t="shared" si="1"/>
        <v>75</v>
      </c>
      <c r="M7" s="152">
        <f t="shared" si="2"/>
        <v>-3</v>
      </c>
      <c r="N7" s="150">
        <f t="shared" si="4"/>
        <v>72</v>
      </c>
    </row>
    <row r="8" spans="1:14" ht="15">
      <c r="A8" s="111" t="s">
        <v>91</v>
      </c>
      <c r="B8" s="163">
        <v>2442</v>
      </c>
      <c r="C8" s="163">
        <v>1348</v>
      </c>
      <c r="D8" s="163">
        <v>0</v>
      </c>
      <c r="E8" s="163">
        <v>0</v>
      </c>
      <c r="F8" s="164">
        <f t="shared" si="0"/>
        <v>3790</v>
      </c>
      <c r="G8" s="163">
        <v>2113</v>
      </c>
      <c r="H8" s="163">
        <v>1765</v>
      </c>
      <c r="I8" s="163">
        <v>0</v>
      </c>
      <c r="J8" s="163">
        <v>0</v>
      </c>
      <c r="K8" s="148">
        <f t="shared" si="3"/>
        <v>3878</v>
      </c>
      <c r="L8" s="150">
        <f t="shared" si="1"/>
        <v>-329</v>
      </c>
      <c r="M8" s="152">
        <f t="shared" si="2"/>
        <v>417</v>
      </c>
      <c r="N8" s="150">
        <f t="shared" si="4"/>
        <v>88</v>
      </c>
    </row>
    <row r="9" spans="1:14" ht="15">
      <c r="A9" s="111" t="s">
        <v>94</v>
      </c>
      <c r="B9" s="163">
        <v>2745</v>
      </c>
      <c r="C9" s="163">
        <v>2110</v>
      </c>
      <c r="D9" s="163">
        <v>0</v>
      </c>
      <c r="E9" s="163">
        <v>0</v>
      </c>
      <c r="F9" s="164">
        <f t="shared" si="0"/>
        <v>4855</v>
      </c>
      <c r="G9" s="163">
        <v>2348</v>
      </c>
      <c r="H9" s="163">
        <v>1674</v>
      </c>
      <c r="I9" s="163">
        <v>0</v>
      </c>
      <c r="J9" s="163">
        <v>0</v>
      </c>
      <c r="K9" s="148">
        <f t="shared" si="3"/>
        <v>4022</v>
      </c>
      <c r="L9" s="150">
        <f t="shared" si="1"/>
        <v>-397</v>
      </c>
      <c r="M9" s="152">
        <f t="shared" si="2"/>
        <v>-436</v>
      </c>
      <c r="N9" s="150">
        <f t="shared" si="4"/>
        <v>-833</v>
      </c>
    </row>
    <row r="10" spans="1:14" ht="15">
      <c r="A10" s="111" t="s">
        <v>98</v>
      </c>
      <c r="B10" s="163">
        <v>1278</v>
      </c>
      <c r="C10" s="163">
        <v>658</v>
      </c>
      <c r="D10" s="163">
        <v>0</v>
      </c>
      <c r="E10" s="163">
        <v>0</v>
      </c>
      <c r="F10" s="164">
        <f t="shared" si="0"/>
        <v>1936</v>
      </c>
      <c r="G10" s="163">
        <v>1108</v>
      </c>
      <c r="H10" s="163">
        <v>640</v>
      </c>
      <c r="I10" s="163">
        <v>0</v>
      </c>
      <c r="J10" s="163">
        <v>0</v>
      </c>
      <c r="K10" s="148">
        <f t="shared" si="3"/>
        <v>1748</v>
      </c>
      <c r="L10" s="150">
        <f t="shared" si="1"/>
        <v>-170</v>
      </c>
      <c r="M10" s="152">
        <f t="shared" si="2"/>
        <v>-18</v>
      </c>
      <c r="N10" s="150">
        <f t="shared" si="4"/>
        <v>-188</v>
      </c>
    </row>
    <row r="11" spans="1:14" ht="15">
      <c r="A11" s="111" t="s">
        <v>101</v>
      </c>
      <c r="B11" s="163">
        <v>4524</v>
      </c>
      <c r="C11" s="163">
        <v>1138</v>
      </c>
      <c r="D11" s="163">
        <v>0</v>
      </c>
      <c r="E11" s="163">
        <v>0</v>
      </c>
      <c r="F11" s="164">
        <f t="shared" si="0"/>
        <v>5662</v>
      </c>
      <c r="G11" s="163">
        <v>4554</v>
      </c>
      <c r="H11" s="163">
        <v>1036</v>
      </c>
      <c r="I11" s="163">
        <v>0</v>
      </c>
      <c r="J11" s="163">
        <v>0</v>
      </c>
      <c r="K11" s="148">
        <f t="shared" si="3"/>
        <v>5590</v>
      </c>
      <c r="L11" s="150">
        <f t="shared" si="1"/>
        <v>30</v>
      </c>
      <c r="M11" s="152">
        <f t="shared" si="2"/>
        <v>-102</v>
      </c>
      <c r="N11" s="150">
        <f t="shared" si="4"/>
        <v>-72</v>
      </c>
    </row>
    <row r="12" spans="1:14" ht="15">
      <c r="A12" s="111" t="s">
        <v>106</v>
      </c>
      <c r="B12" s="163">
        <v>3615</v>
      </c>
      <c r="C12" s="163">
        <v>1239</v>
      </c>
      <c r="D12" s="163">
        <v>0</v>
      </c>
      <c r="E12" s="163">
        <v>0</v>
      </c>
      <c r="F12" s="164">
        <f t="shared" si="0"/>
        <v>4854</v>
      </c>
      <c r="G12" s="163">
        <v>3648</v>
      </c>
      <c r="H12" s="163">
        <v>1405</v>
      </c>
      <c r="I12" s="163">
        <v>0</v>
      </c>
      <c r="J12" s="163">
        <v>0</v>
      </c>
      <c r="K12" s="148">
        <f t="shared" si="3"/>
        <v>5053</v>
      </c>
      <c r="L12" s="150">
        <f t="shared" si="1"/>
        <v>33</v>
      </c>
      <c r="M12" s="152">
        <f t="shared" si="2"/>
        <v>166</v>
      </c>
      <c r="N12" s="150">
        <f t="shared" si="4"/>
        <v>199</v>
      </c>
    </row>
    <row r="13" spans="1:14" ht="15">
      <c r="A13" s="111" t="s">
        <v>111</v>
      </c>
      <c r="B13" s="163">
        <v>2839</v>
      </c>
      <c r="C13" s="163">
        <v>1061</v>
      </c>
      <c r="D13" s="163">
        <v>0</v>
      </c>
      <c r="E13" s="163">
        <v>0</v>
      </c>
      <c r="F13" s="164">
        <f t="shared" si="0"/>
        <v>3900</v>
      </c>
      <c r="G13" s="163">
        <v>2564</v>
      </c>
      <c r="H13" s="163">
        <v>863</v>
      </c>
      <c r="I13" s="163">
        <v>0</v>
      </c>
      <c r="J13" s="163">
        <v>0</v>
      </c>
      <c r="K13" s="148">
        <f t="shared" si="3"/>
        <v>3427</v>
      </c>
      <c r="L13" s="150">
        <f t="shared" si="1"/>
        <v>-275</v>
      </c>
      <c r="M13" s="152">
        <f t="shared" si="2"/>
        <v>-198</v>
      </c>
      <c r="N13" s="150">
        <f t="shared" si="4"/>
        <v>-473</v>
      </c>
    </row>
    <row r="14" spans="1:14" ht="15">
      <c r="A14" s="111" t="s">
        <v>115</v>
      </c>
      <c r="B14" s="163">
        <v>1363</v>
      </c>
      <c r="C14" s="163">
        <v>885</v>
      </c>
      <c r="D14" s="163">
        <v>0</v>
      </c>
      <c r="E14" s="163">
        <v>0</v>
      </c>
      <c r="F14" s="164">
        <f t="shared" si="0"/>
        <v>2248</v>
      </c>
      <c r="G14" s="163">
        <v>1252</v>
      </c>
      <c r="H14" s="163">
        <v>1076</v>
      </c>
      <c r="I14" s="163">
        <v>0</v>
      </c>
      <c r="J14" s="163">
        <v>0</v>
      </c>
      <c r="K14" s="148">
        <f t="shared" si="3"/>
        <v>2328</v>
      </c>
      <c r="L14" s="150">
        <f t="shared" si="1"/>
        <v>-111</v>
      </c>
      <c r="M14" s="152">
        <f t="shared" si="2"/>
        <v>191</v>
      </c>
      <c r="N14" s="150">
        <f t="shared" si="4"/>
        <v>80</v>
      </c>
    </row>
    <row r="15" spans="1:14" ht="15">
      <c r="A15" s="111" t="s">
        <v>120</v>
      </c>
      <c r="B15" s="163">
        <v>2153</v>
      </c>
      <c r="C15" s="163">
        <v>750</v>
      </c>
      <c r="D15" s="163">
        <v>0</v>
      </c>
      <c r="E15" s="163">
        <v>0</v>
      </c>
      <c r="F15" s="164">
        <f t="shared" si="0"/>
        <v>2903</v>
      </c>
      <c r="G15" s="163">
        <v>3036</v>
      </c>
      <c r="H15" s="163">
        <v>683</v>
      </c>
      <c r="I15" s="163">
        <v>0</v>
      </c>
      <c r="J15" s="163">
        <v>0</v>
      </c>
      <c r="K15" s="148">
        <f t="shared" si="3"/>
        <v>3719</v>
      </c>
      <c r="L15" s="150">
        <f t="shared" si="1"/>
        <v>883</v>
      </c>
      <c r="M15" s="152">
        <f t="shared" si="2"/>
        <v>-67</v>
      </c>
      <c r="N15" s="150">
        <f t="shared" si="4"/>
        <v>816</v>
      </c>
    </row>
    <row r="16" spans="1:14" ht="15">
      <c r="A16" s="111" t="s">
        <v>127</v>
      </c>
      <c r="B16" s="163">
        <v>1711</v>
      </c>
      <c r="C16" s="163">
        <v>783</v>
      </c>
      <c r="D16" s="163">
        <v>0</v>
      </c>
      <c r="E16" s="163">
        <v>0</v>
      </c>
      <c r="F16" s="164">
        <f t="shared" si="0"/>
        <v>2494</v>
      </c>
      <c r="G16" s="163">
        <v>1851</v>
      </c>
      <c r="H16" s="163">
        <v>883</v>
      </c>
      <c r="I16" s="163">
        <v>0</v>
      </c>
      <c r="J16" s="163">
        <v>0</v>
      </c>
      <c r="K16" s="148">
        <f t="shared" si="3"/>
        <v>2734</v>
      </c>
      <c r="L16" s="150">
        <f t="shared" si="1"/>
        <v>140</v>
      </c>
      <c r="M16" s="152">
        <f t="shared" si="2"/>
        <v>100</v>
      </c>
      <c r="N16" s="150">
        <f t="shared" si="4"/>
        <v>240</v>
      </c>
    </row>
    <row r="17" spans="1:14" ht="15">
      <c r="A17" s="111" t="s">
        <v>133</v>
      </c>
      <c r="B17" s="163">
        <v>976</v>
      </c>
      <c r="C17" s="163">
        <v>342</v>
      </c>
      <c r="D17" s="163">
        <v>0</v>
      </c>
      <c r="E17" s="163">
        <v>0</v>
      </c>
      <c r="F17" s="164">
        <f t="shared" si="0"/>
        <v>1318</v>
      </c>
      <c r="G17" s="163">
        <v>980</v>
      </c>
      <c r="H17" s="163">
        <v>528</v>
      </c>
      <c r="I17" s="163">
        <v>0</v>
      </c>
      <c r="J17" s="163">
        <v>0</v>
      </c>
      <c r="K17" s="148">
        <f t="shared" si="3"/>
        <v>1508</v>
      </c>
      <c r="L17" s="150">
        <f t="shared" si="1"/>
        <v>4</v>
      </c>
      <c r="M17" s="152">
        <f t="shared" si="2"/>
        <v>186</v>
      </c>
      <c r="N17" s="150">
        <f t="shared" si="4"/>
        <v>190</v>
      </c>
    </row>
    <row r="18" spans="1:14" ht="15">
      <c r="A18" s="111" t="s">
        <v>137</v>
      </c>
      <c r="B18" s="163">
        <v>155</v>
      </c>
      <c r="C18" s="163">
        <v>21</v>
      </c>
      <c r="D18" s="163">
        <v>24</v>
      </c>
      <c r="E18" s="163">
        <v>0</v>
      </c>
      <c r="F18" s="164">
        <f t="shared" si="0"/>
        <v>200</v>
      </c>
      <c r="G18" s="163">
        <v>188</v>
      </c>
      <c r="H18" s="163">
        <v>0</v>
      </c>
      <c r="I18" s="163">
        <v>0</v>
      </c>
      <c r="J18" s="163">
        <v>0</v>
      </c>
      <c r="K18" s="148">
        <f t="shared" si="3"/>
        <v>188</v>
      </c>
      <c r="L18" s="150">
        <f t="shared" si="1"/>
        <v>9</v>
      </c>
      <c r="M18" s="152">
        <f t="shared" si="2"/>
        <v>-21</v>
      </c>
      <c r="N18" s="150">
        <f t="shared" si="4"/>
        <v>-12</v>
      </c>
    </row>
    <row r="19" spans="1:14" ht="15">
      <c r="A19" s="111" t="s">
        <v>141</v>
      </c>
      <c r="B19" s="163">
        <v>93</v>
      </c>
      <c r="C19" s="163">
        <v>0</v>
      </c>
      <c r="D19" s="163">
        <v>0</v>
      </c>
      <c r="E19" s="163">
        <v>0</v>
      </c>
      <c r="F19" s="164">
        <f t="shared" si="0"/>
        <v>93</v>
      </c>
      <c r="G19" s="163">
        <v>87</v>
      </c>
      <c r="H19" s="163">
        <v>0</v>
      </c>
      <c r="I19" s="163">
        <v>0</v>
      </c>
      <c r="J19" s="163">
        <v>0</v>
      </c>
      <c r="K19" s="148">
        <f t="shared" si="3"/>
        <v>87</v>
      </c>
      <c r="L19" s="150">
        <f t="shared" si="1"/>
        <v>-6</v>
      </c>
      <c r="M19" s="152">
        <f t="shared" si="2"/>
        <v>0</v>
      </c>
      <c r="N19" s="150">
        <f t="shared" si="4"/>
        <v>-6</v>
      </c>
    </row>
    <row r="20" spans="1:14" ht="15">
      <c r="A20" s="111" t="s">
        <v>142</v>
      </c>
      <c r="B20" s="163">
        <v>110</v>
      </c>
      <c r="C20" s="163">
        <v>0</v>
      </c>
      <c r="D20" s="163">
        <v>0</v>
      </c>
      <c r="E20" s="163">
        <v>0</v>
      </c>
      <c r="F20" s="164">
        <f t="shared" si="0"/>
        <v>110</v>
      </c>
      <c r="G20" s="163">
        <v>124</v>
      </c>
      <c r="H20" s="163">
        <v>0</v>
      </c>
      <c r="I20" s="163">
        <v>0</v>
      </c>
      <c r="J20" s="163">
        <v>0</v>
      </c>
      <c r="K20" s="148">
        <f t="shared" si="3"/>
        <v>124</v>
      </c>
      <c r="L20" s="150">
        <f t="shared" si="1"/>
        <v>14</v>
      </c>
      <c r="M20" s="152">
        <f t="shared" si="2"/>
        <v>0</v>
      </c>
      <c r="N20" s="150">
        <f t="shared" si="4"/>
        <v>14</v>
      </c>
    </row>
    <row r="21" spans="1:14" ht="15">
      <c r="A21" s="111" t="s">
        <v>146</v>
      </c>
      <c r="B21" s="163">
        <v>1611</v>
      </c>
      <c r="C21" s="163">
        <v>2388</v>
      </c>
      <c r="D21" s="163">
        <v>32</v>
      </c>
      <c r="E21" s="163">
        <v>6</v>
      </c>
      <c r="F21" s="164">
        <f>SUM(B21:E21)</f>
        <v>4037</v>
      </c>
      <c r="G21" s="163">
        <v>1276</v>
      </c>
      <c r="H21" s="163">
        <v>2121</v>
      </c>
      <c r="I21" s="163">
        <v>28</v>
      </c>
      <c r="J21" s="163">
        <v>0</v>
      </c>
      <c r="K21" s="148">
        <f t="shared" si="3"/>
        <v>3425</v>
      </c>
      <c r="L21" s="150">
        <f t="shared" si="1"/>
        <v>-339</v>
      </c>
      <c r="M21" s="152">
        <f t="shared" si="2"/>
        <v>-273</v>
      </c>
      <c r="N21" s="150">
        <f t="shared" si="4"/>
        <v>-612</v>
      </c>
    </row>
    <row r="22" spans="1:14" ht="15">
      <c r="A22" s="111" t="s">
        <v>147</v>
      </c>
      <c r="B22" s="163">
        <v>424</v>
      </c>
      <c r="C22" s="163">
        <v>588</v>
      </c>
      <c r="D22" s="163">
        <v>7</v>
      </c>
      <c r="E22" s="163">
        <v>9</v>
      </c>
      <c r="F22" s="164">
        <f>SUM(B22:E22)</f>
        <v>1028</v>
      </c>
      <c r="G22" s="163">
        <v>352</v>
      </c>
      <c r="H22" s="163">
        <v>509</v>
      </c>
      <c r="I22" s="163">
        <v>8</v>
      </c>
      <c r="J22" s="163">
        <v>11</v>
      </c>
      <c r="K22" s="148">
        <f t="shared" si="3"/>
        <v>880</v>
      </c>
      <c r="L22" s="150">
        <f t="shared" si="1"/>
        <v>-71</v>
      </c>
      <c r="M22" s="152">
        <f t="shared" si="2"/>
        <v>-77</v>
      </c>
      <c r="N22" s="150">
        <f>+L22+M22</f>
        <v>-148</v>
      </c>
    </row>
    <row r="23" spans="1:14" ht="15">
      <c r="A23" s="91" t="s">
        <v>188</v>
      </c>
      <c r="B23" s="165">
        <f>SUM(B3:B22)</f>
        <v>34150</v>
      </c>
      <c r="C23" s="165">
        <f>SUM(C3:C22)</f>
        <v>17144</v>
      </c>
      <c r="D23" s="165">
        <f>SUM(D3:D22)</f>
        <v>1392</v>
      </c>
      <c r="E23" s="165">
        <f>SUM(E3:E22)</f>
        <v>110</v>
      </c>
      <c r="F23" s="165">
        <f aca="true" t="shared" si="5" ref="F23:F29">SUM(B23:E23)</f>
        <v>52796</v>
      </c>
      <c r="G23" s="165">
        <f aca="true" t="shared" si="6" ref="G23:N23">SUM(G3:G22)</f>
        <v>34857</v>
      </c>
      <c r="H23" s="165">
        <f t="shared" si="6"/>
        <v>17726</v>
      </c>
      <c r="I23" s="165">
        <f t="shared" si="6"/>
        <v>1391</v>
      </c>
      <c r="J23" s="165">
        <f t="shared" si="6"/>
        <v>112</v>
      </c>
      <c r="K23" s="165">
        <f t="shared" si="6"/>
        <v>54086</v>
      </c>
      <c r="L23" s="165">
        <f t="shared" si="6"/>
        <v>706</v>
      </c>
      <c r="M23" s="165">
        <f t="shared" si="6"/>
        <v>584</v>
      </c>
      <c r="N23" s="165">
        <f t="shared" si="6"/>
        <v>1290</v>
      </c>
    </row>
    <row r="24" spans="1:14" ht="15">
      <c r="A24" s="111" t="s">
        <v>149</v>
      </c>
      <c r="B24" s="163">
        <v>195</v>
      </c>
      <c r="C24" s="163">
        <v>101</v>
      </c>
      <c r="D24" s="163">
        <v>0</v>
      </c>
      <c r="E24" s="163">
        <v>0</v>
      </c>
      <c r="F24" s="164">
        <f t="shared" si="5"/>
        <v>296</v>
      </c>
      <c r="G24" s="163">
        <v>230</v>
      </c>
      <c r="H24" s="163">
        <v>80</v>
      </c>
      <c r="I24" s="163">
        <v>0</v>
      </c>
      <c r="J24" s="163">
        <v>0</v>
      </c>
      <c r="K24" s="148">
        <f t="shared" si="3"/>
        <v>310</v>
      </c>
      <c r="L24" s="150">
        <f aca="true" t="shared" si="7" ref="L24:L33">+G24+I24-B24-D24</f>
        <v>35</v>
      </c>
      <c r="M24" s="152">
        <f aca="true" t="shared" si="8" ref="M24:M33">+H24+J24-C24-E24</f>
        <v>-21</v>
      </c>
      <c r="N24" s="150">
        <f aca="true" t="shared" si="9" ref="N24:N33">+L24+M24</f>
        <v>14</v>
      </c>
    </row>
    <row r="25" spans="1:14" ht="15">
      <c r="A25" s="111" t="s">
        <v>150</v>
      </c>
      <c r="B25" s="163">
        <v>0</v>
      </c>
      <c r="C25" s="163">
        <v>2001</v>
      </c>
      <c r="D25" s="163">
        <v>0</v>
      </c>
      <c r="E25" s="163">
        <v>0</v>
      </c>
      <c r="F25" s="164">
        <f t="shared" si="5"/>
        <v>2001</v>
      </c>
      <c r="G25" s="163">
        <v>0</v>
      </c>
      <c r="H25" s="163">
        <v>2262</v>
      </c>
      <c r="I25" s="163">
        <v>0</v>
      </c>
      <c r="J25" s="163">
        <v>0</v>
      </c>
      <c r="K25" s="148">
        <f t="shared" si="3"/>
        <v>2262</v>
      </c>
      <c r="L25" s="150">
        <f t="shared" si="7"/>
        <v>0</v>
      </c>
      <c r="M25" s="152">
        <f t="shared" si="8"/>
        <v>261</v>
      </c>
      <c r="N25" s="150">
        <f t="shared" si="9"/>
        <v>261</v>
      </c>
    </row>
    <row r="26" spans="1:14" ht="15">
      <c r="A26" s="111" t="s">
        <v>151</v>
      </c>
      <c r="B26" s="163">
        <v>110</v>
      </c>
      <c r="C26" s="163">
        <v>1067</v>
      </c>
      <c r="D26" s="163">
        <v>0</v>
      </c>
      <c r="E26" s="163">
        <v>0</v>
      </c>
      <c r="F26" s="164">
        <f t="shared" si="5"/>
        <v>1177</v>
      </c>
      <c r="G26" s="163">
        <v>115</v>
      </c>
      <c r="H26" s="163">
        <v>1087</v>
      </c>
      <c r="I26" s="163">
        <v>0</v>
      </c>
      <c r="J26" s="163">
        <v>0</v>
      </c>
      <c r="K26" s="148">
        <f t="shared" si="3"/>
        <v>1202</v>
      </c>
      <c r="L26" s="150">
        <f t="shared" si="7"/>
        <v>5</v>
      </c>
      <c r="M26" s="152">
        <f t="shared" si="8"/>
        <v>20</v>
      </c>
      <c r="N26" s="150">
        <f t="shared" si="9"/>
        <v>25</v>
      </c>
    </row>
    <row r="27" spans="1:14" ht="15">
      <c r="A27" s="111" t="s">
        <v>152</v>
      </c>
      <c r="B27" s="163">
        <v>270</v>
      </c>
      <c r="C27" s="163">
        <v>370</v>
      </c>
      <c r="D27" s="163">
        <v>0</v>
      </c>
      <c r="E27" s="163">
        <v>0</v>
      </c>
      <c r="F27" s="164">
        <f t="shared" si="5"/>
        <v>640</v>
      </c>
      <c r="G27" s="163">
        <v>267</v>
      </c>
      <c r="H27" s="163">
        <v>435</v>
      </c>
      <c r="I27" s="163">
        <v>5</v>
      </c>
      <c r="J27" s="163">
        <v>0</v>
      </c>
      <c r="K27" s="148">
        <f t="shared" si="3"/>
        <v>707</v>
      </c>
      <c r="L27" s="150">
        <f t="shared" si="7"/>
        <v>2</v>
      </c>
      <c r="M27" s="152">
        <f t="shared" si="8"/>
        <v>65</v>
      </c>
      <c r="N27" s="150">
        <f t="shared" si="9"/>
        <v>67</v>
      </c>
    </row>
    <row r="28" spans="1:14" ht="15.75" customHeight="1">
      <c r="A28" s="111" t="s">
        <v>194</v>
      </c>
      <c r="B28" s="163">
        <v>25</v>
      </c>
      <c r="C28" s="163">
        <v>455</v>
      </c>
      <c r="D28" s="163">
        <v>0</v>
      </c>
      <c r="E28" s="163">
        <v>0</v>
      </c>
      <c r="F28" s="164">
        <f t="shared" si="5"/>
        <v>480</v>
      </c>
      <c r="G28" s="163">
        <v>116</v>
      </c>
      <c r="H28" s="163">
        <v>641</v>
      </c>
      <c r="I28" s="163">
        <v>0</v>
      </c>
      <c r="J28" s="163">
        <v>0</v>
      </c>
      <c r="K28" s="148">
        <f t="shared" si="3"/>
        <v>757</v>
      </c>
      <c r="L28" s="150">
        <f t="shared" si="7"/>
        <v>91</v>
      </c>
      <c r="M28" s="152">
        <f t="shared" si="8"/>
        <v>186</v>
      </c>
      <c r="N28" s="150">
        <f t="shared" si="9"/>
        <v>277</v>
      </c>
    </row>
    <row r="29" spans="1:14" ht="15.75" customHeight="1">
      <c r="A29" s="90" t="s">
        <v>195</v>
      </c>
      <c r="B29" s="163">
        <v>54</v>
      </c>
      <c r="C29" s="163">
        <v>47</v>
      </c>
      <c r="D29" s="163">
        <v>0</v>
      </c>
      <c r="E29" s="163">
        <v>0</v>
      </c>
      <c r="F29" s="164">
        <f t="shared" si="5"/>
        <v>101</v>
      </c>
      <c r="G29" s="163">
        <v>86</v>
      </c>
      <c r="H29" s="163">
        <v>102</v>
      </c>
      <c r="I29" s="163">
        <v>0</v>
      </c>
      <c r="J29" s="163">
        <v>0</v>
      </c>
      <c r="K29" s="148">
        <f t="shared" si="3"/>
        <v>188</v>
      </c>
      <c r="L29" s="150">
        <f t="shared" si="7"/>
        <v>32</v>
      </c>
      <c r="M29" s="152">
        <f t="shared" si="8"/>
        <v>55</v>
      </c>
      <c r="N29" s="150">
        <f t="shared" si="9"/>
        <v>87</v>
      </c>
    </row>
    <row r="30" spans="1:14" ht="15.75" customHeight="1">
      <c r="A30" s="90" t="s">
        <v>28</v>
      </c>
      <c r="B30" s="166">
        <v>0</v>
      </c>
      <c r="C30" s="166">
        <v>0</v>
      </c>
      <c r="D30" s="166">
        <v>0</v>
      </c>
      <c r="E30" s="166">
        <v>0</v>
      </c>
      <c r="F30" s="166">
        <v>0</v>
      </c>
      <c r="G30" s="166">
        <v>14</v>
      </c>
      <c r="H30" s="166">
        <v>0</v>
      </c>
      <c r="I30" s="166">
        <v>0</v>
      </c>
      <c r="J30" s="166">
        <v>0</v>
      </c>
      <c r="K30" s="148">
        <f>SUM(G30:J30)</f>
        <v>14</v>
      </c>
      <c r="L30" s="150">
        <f t="shared" si="7"/>
        <v>14</v>
      </c>
      <c r="M30" s="152">
        <f t="shared" si="8"/>
        <v>0</v>
      </c>
      <c r="N30" s="150">
        <f t="shared" si="9"/>
        <v>14</v>
      </c>
    </row>
    <row r="31" spans="1:14" s="14" customFormat="1" ht="15.75" customHeight="1">
      <c r="A31" s="90" t="s">
        <v>29</v>
      </c>
      <c r="B31" s="166">
        <v>0</v>
      </c>
      <c r="C31" s="166">
        <v>0</v>
      </c>
      <c r="D31" s="166">
        <v>0</v>
      </c>
      <c r="E31" s="166">
        <v>0</v>
      </c>
      <c r="F31" s="166">
        <v>0</v>
      </c>
      <c r="G31" s="166">
        <v>0</v>
      </c>
      <c r="H31" s="166">
        <v>969</v>
      </c>
      <c r="I31" s="166">
        <v>0</v>
      </c>
      <c r="J31" s="166">
        <v>0</v>
      </c>
      <c r="K31" s="148">
        <f>SUM(G31:J31)</f>
        <v>969</v>
      </c>
      <c r="L31" s="150">
        <f t="shared" si="7"/>
        <v>0</v>
      </c>
      <c r="M31" s="152">
        <f t="shared" si="8"/>
        <v>969</v>
      </c>
      <c r="N31" s="150">
        <f t="shared" si="9"/>
        <v>969</v>
      </c>
    </row>
    <row r="32" spans="1:14" ht="15.75" customHeight="1">
      <c r="A32" s="90" t="s">
        <v>30</v>
      </c>
      <c r="B32" s="166">
        <v>0</v>
      </c>
      <c r="C32" s="166">
        <v>0</v>
      </c>
      <c r="D32" s="166">
        <v>0</v>
      </c>
      <c r="E32" s="166">
        <v>0</v>
      </c>
      <c r="F32" s="166">
        <v>0</v>
      </c>
      <c r="G32" s="166">
        <v>93</v>
      </c>
      <c r="H32" s="166">
        <v>209</v>
      </c>
      <c r="I32" s="166">
        <v>0</v>
      </c>
      <c r="J32" s="166">
        <v>0</v>
      </c>
      <c r="K32" s="148">
        <f>SUM(G32:J32)</f>
        <v>302</v>
      </c>
      <c r="L32" s="150">
        <f t="shared" si="7"/>
        <v>93</v>
      </c>
      <c r="M32" s="152">
        <f t="shared" si="8"/>
        <v>209</v>
      </c>
      <c r="N32" s="150">
        <f t="shared" si="9"/>
        <v>302</v>
      </c>
    </row>
    <row r="33" spans="1:14" ht="15.75" customHeight="1">
      <c r="A33" s="90" t="s">
        <v>31</v>
      </c>
      <c r="B33" s="166">
        <v>0</v>
      </c>
      <c r="C33" s="166">
        <v>0</v>
      </c>
      <c r="D33" s="166">
        <v>0</v>
      </c>
      <c r="E33" s="166">
        <v>0</v>
      </c>
      <c r="F33" s="166">
        <v>0</v>
      </c>
      <c r="G33" s="166">
        <v>144</v>
      </c>
      <c r="H33" s="166">
        <v>216</v>
      </c>
      <c r="I33" s="166">
        <v>0</v>
      </c>
      <c r="J33" s="166">
        <v>0</v>
      </c>
      <c r="K33" s="148">
        <f>SUM(G33:J33)</f>
        <v>360</v>
      </c>
      <c r="L33" s="150">
        <f t="shared" si="7"/>
        <v>144</v>
      </c>
      <c r="M33" s="152">
        <f t="shared" si="8"/>
        <v>216</v>
      </c>
      <c r="N33" s="150">
        <f t="shared" si="9"/>
        <v>360</v>
      </c>
    </row>
    <row r="34" spans="1:14" ht="15.75" customHeight="1">
      <c r="A34" s="91" t="s">
        <v>189</v>
      </c>
      <c r="B34" s="165">
        <f>SUM(B24:B33)</f>
        <v>654</v>
      </c>
      <c r="C34" s="165">
        <f>SUM(C24:C33)</f>
        <v>4041</v>
      </c>
      <c r="D34" s="165">
        <f>SUM(D24:D33)</f>
        <v>0</v>
      </c>
      <c r="E34" s="165">
        <f>SUM(E24:E33)</f>
        <v>0</v>
      </c>
      <c r="F34" s="165">
        <f>SUM(F24:F29)</f>
        <v>4695</v>
      </c>
      <c r="G34" s="165">
        <f>SUM(G24:G33)</f>
        <v>1065</v>
      </c>
      <c r="H34" s="165">
        <f aca="true" t="shared" si="10" ref="H34:N34">SUM(H24:H33)</f>
        <v>6001</v>
      </c>
      <c r="I34" s="165">
        <f t="shared" si="10"/>
        <v>5</v>
      </c>
      <c r="J34" s="165">
        <f t="shared" si="10"/>
        <v>0</v>
      </c>
      <c r="K34" s="165">
        <f t="shared" si="10"/>
        <v>7071</v>
      </c>
      <c r="L34" s="165">
        <f t="shared" si="10"/>
        <v>416</v>
      </c>
      <c r="M34" s="165">
        <f t="shared" si="10"/>
        <v>1960</v>
      </c>
      <c r="N34" s="165">
        <f t="shared" si="10"/>
        <v>2376</v>
      </c>
    </row>
    <row r="35" spans="1:14" ht="15.75" customHeight="1">
      <c r="A35" s="159" t="s">
        <v>243</v>
      </c>
      <c r="B35" s="162">
        <f>+B23+B34</f>
        <v>34804</v>
      </c>
      <c r="C35" s="162">
        <f>+C23+C34</f>
        <v>21185</v>
      </c>
      <c r="D35" s="162">
        <f>+D23+D34</f>
        <v>1392</v>
      </c>
      <c r="E35" s="162">
        <f>+E23+E34</f>
        <v>110</v>
      </c>
      <c r="F35" s="162">
        <f>F34+F23</f>
        <v>57491</v>
      </c>
      <c r="G35" s="162">
        <f aca="true" t="shared" si="11" ref="G35:N35">+G23+G34</f>
        <v>35922</v>
      </c>
      <c r="H35" s="162">
        <f t="shared" si="11"/>
        <v>23727</v>
      </c>
      <c r="I35" s="162">
        <f t="shared" si="11"/>
        <v>1396</v>
      </c>
      <c r="J35" s="162">
        <f t="shared" si="11"/>
        <v>112</v>
      </c>
      <c r="K35" s="162">
        <f t="shared" si="11"/>
        <v>61157</v>
      </c>
      <c r="L35" s="162">
        <f t="shared" si="11"/>
        <v>1122</v>
      </c>
      <c r="M35" s="162">
        <f t="shared" si="11"/>
        <v>2544</v>
      </c>
      <c r="N35" s="162">
        <f t="shared" si="11"/>
        <v>3666</v>
      </c>
    </row>
    <row r="36" spans="1:14" ht="15.75" customHeight="1">
      <c r="A36" s="168" t="s">
        <v>32</v>
      </c>
      <c r="B36" s="106"/>
      <c r="C36" s="167"/>
      <c r="D36" s="167"/>
      <c r="E36" s="167"/>
      <c r="F36" s="167"/>
      <c r="G36" s="167"/>
      <c r="H36" s="167"/>
      <c r="I36" s="167"/>
      <c r="J36" s="167"/>
      <c r="K36" s="167"/>
      <c r="L36" s="167"/>
      <c r="M36" s="106"/>
      <c r="N36" s="169" t="s">
        <v>217</v>
      </c>
    </row>
    <row r="37" spans="7:8" ht="12.75">
      <c r="G37" s="18"/>
      <c r="H37" s="18"/>
    </row>
    <row r="38" ht="15.75">
      <c r="A38" s="104"/>
    </row>
    <row r="39" ht="15.75">
      <c r="A39" s="17"/>
    </row>
  </sheetData>
  <mergeCells count="1">
    <mergeCell ref="A1:N1"/>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59" r:id="rId1"/>
</worksheet>
</file>

<file path=xl/worksheets/sheet40.xml><?xml version="1.0" encoding="utf-8"?>
<worksheet xmlns="http://schemas.openxmlformats.org/spreadsheetml/2006/main" xmlns:r="http://schemas.openxmlformats.org/officeDocument/2006/relationships">
  <sheetPr>
    <tabColor indexed="43"/>
  </sheetPr>
  <dimension ref="A1:M25"/>
  <sheetViews>
    <sheetView zoomScaleSheetLayoutView="100" workbookViewId="0" topLeftCell="A1">
      <selection activeCell="M33" sqref="M33"/>
    </sheetView>
  </sheetViews>
  <sheetFormatPr defaultColWidth="9.140625" defaultRowHeight="12.75"/>
  <sheetData>
    <row r="1" spans="1:13" ht="75" customHeight="1">
      <c r="A1" s="611" t="s">
        <v>655</v>
      </c>
      <c r="B1" s="611"/>
      <c r="C1" s="611"/>
      <c r="D1" s="611"/>
      <c r="E1" s="611"/>
      <c r="F1" s="611"/>
      <c r="G1" s="611"/>
      <c r="H1" s="611"/>
      <c r="I1" s="611"/>
      <c r="J1" s="611"/>
      <c r="K1" s="611"/>
      <c r="L1" s="611"/>
      <c r="M1" s="611"/>
    </row>
    <row r="22" ht="12.75">
      <c r="G22" t="s">
        <v>318</v>
      </c>
    </row>
    <row r="25" spans="9:10" ht="15.75">
      <c r="I25" s="544"/>
      <c r="J25" s="545"/>
    </row>
  </sheetData>
  <mergeCells count="1">
    <mergeCell ref="A1:M1"/>
  </mergeCells>
  <printOptions/>
  <pageMargins left="0.75" right="0.75" top="1" bottom="1" header="0.4921259845" footer="0.4921259845"/>
  <pageSetup horizontalDpi="600" verticalDpi="600" orientation="landscape" paperSize="9" scale="98" r:id="rId2"/>
  <drawing r:id="rId1"/>
</worksheet>
</file>

<file path=xl/worksheets/sheet5.xml><?xml version="1.0" encoding="utf-8"?>
<worksheet xmlns="http://schemas.openxmlformats.org/spreadsheetml/2006/main" xmlns:r="http://schemas.openxmlformats.org/officeDocument/2006/relationships">
  <sheetPr codeName="Hárok5">
    <tabColor indexed="42"/>
    <pageSetUpPr fitToPage="1"/>
  </sheetPr>
  <dimension ref="A1:J41"/>
  <sheetViews>
    <sheetView zoomScaleSheetLayoutView="100" workbookViewId="0" topLeftCell="A1">
      <selection activeCell="A2" sqref="A2"/>
    </sheetView>
  </sheetViews>
  <sheetFormatPr defaultColWidth="9.140625" defaultRowHeight="12.75"/>
  <cols>
    <col min="1" max="1" width="25.7109375" style="0" customWidth="1"/>
    <col min="2" max="10" width="15.7109375" style="0" customWidth="1"/>
  </cols>
  <sheetData>
    <row r="1" spans="1:10" ht="75" customHeight="1">
      <c r="A1" s="570" t="s">
        <v>14</v>
      </c>
      <c r="B1" s="570"/>
      <c r="C1" s="570"/>
      <c r="D1" s="570"/>
      <c r="E1" s="570"/>
      <c r="F1" s="570"/>
      <c r="G1" s="570"/>
      <c r="H1" s="570"/>
      <c r="I1" s="570"/>
      <c r="J1" s="570"/>
    </row>
    <row r="2" spans="1:10" ht="78.75">
      <c r="A2" s="128" t="s">
        <v>154</v>
      </c>
      <c r="B2" s="128" t="s">
        <v>15</v>
      </c>
      <c r="C2" s="128" t="s">
        <v>16</v>
      </c>
      <c r="D2" s="128" t="s">
        <v>17</v>
      </c>
      <c r="E2" s="128" t="s">
        <v>18</v>
      </c>
      <c r="F2" s="128" t="s">
        <v>19</v>
      </c>
      <c r="G2" s="128" t="s">
        <v>20</v>
      </c>
      <c r="H2" s="102" t="s">
        <v>21</v>
      </c>
      <c r="I2" s="103" t="s">
        <v>22</v>
      </c>
      <c r="J2" s="102" t="s">
        <v>23</v>
      </c>
    </row>
    <row r="3" spans="1:10" ht="15">
      <c r="A3" s="171" t="s">
        <v>60</v>
      </c>
      <c r="B3" s="176">
        <v>426</v>
      </c>
      <c r="C3" s="176">
        <v>298</v>
      </c>
      <c r="D3" s="177">
        <f>SUM(B3:C3)</f>
        <v>724</v>
      </c>
      <c r="E3" s="176">
        <v>748</v>
      </c>
      <c r="F3" s="176">
        <v>543</v>
      </c>
      <c r="G3" s="177">
        <f>E3+F3</f>
        <v>1291</v>
      </c>
      <c r="H3" s="178">
        <f>E3-B3</f>
        <v>322</v>
      </c>
      <c r="I3" s="179">
        <f>F3-C3</f>
        <v>245</v>
      </c>
      <c r="J3" s="178">
        <f>H3+I3</f>
        <v>567</v>
      </c>
    </row>
    <row r="4" spans="1:10" ht="15">
      <c r="A4" s="171" t="s">
        <v>78</v>
      </c>
      <c r="B4" s="176">
        <v>198</v>
      </c>
      <c r="C4" s="176">
        <v>0</v>
      </c>
      <c r="D4" s="177">
        <f aca="true" t="shared" si="0" ref="D4:D21">SUM(B4:C4)</f>
        <v>198</v>
      </c>
      <c r="E4" s="176">
        <v>385</v>
      </c>
      <c r="F4" s="176">
        <v>38</v>
      </c>
      <c r="G4" s="177">
        <f aca="true" t="shared" si="1" ref="G4:G31">E4+F4</f>
        <v>423</v>
      </c>
      <c r="H4" s="178">
        <f aca="true" t="shared" si="2" ref="H4:I31">E4-B4</f>
        <v>187</v>
      </c>
      <c r="I4" s="179">
        <f t="shared" si="2"/>
        <v>38</v>
      </c>
      <c r="J4" s="178">
        <f aca="true" t="shared" si="3" ref="J4:J31">H4+I4</f>
        <v>225</v>
      </c>
    </row>
    <row r="5" spans="1:10" ht="15">
      <c r="A5" s="171" t="s">
        <v>80</v>
      </c>
      <c r="B5" s="176">
        <v>0</v>
      </c>
      <c r="C5" s="176">
        <v>144</v>
      </c>
      <c r="D5" s="177">
        <f>SUM(B5:C5)</f>
        <v>144</v>
      </c>
      <c r="E5" s="176">
        <v>21</v>
      </c>
      <c r="F5" s="176">
        <v>208</v>
      </c>
      <c r="G5" s="177">
        <f t="shared" si="1"/>
        <v>229</v>
      </c>
      <c r="H5" s="178">
        <f t="shared" si="2"/>
        <v>21</v>
      </c>
      <c r="I5" s="179">
        <f t="shared" si="2"/>
        <v>64</v>
      </c>
      <c r="J5" s="178">
        <f t="shared" si="3"/>
        <v>85</v>
      </c>
    </row>
    <row r="6" spans="1:10" ht="15">
      <c r="A6" s="171" t="s">
        <v>87</v>
      </c>
      <c r="B6" s="176">
        <v>184</v>
      </c>
      <c r="C6" s="176">
        <v>153</v>
      </c>
      <c r="D6" s="177">
        <f t="shared" si="0"/>
        <v>337</v>
      </c>
      <c r="E6" s="176">
        <v>133</v>
      </c>
      <c r="F6" s="176">
        <v>173</v>
      </c>
      <c r="G6" s="177">
        <f t="shared" si="1"/>
        <v>306</v>
      </c>
      <c r="H6" s="178">
        <f t="shared" si="2"/>
        <v>-51</v>
      </c>
      <c r="I6" s="179">
        <f t="shared" si="2"/>
        <v>20</v>
      </c>
      <c r="J6" s="178">
        <f t="shared" si="3"/>
        <v>-31</v>
      </c>
    </row>
    <row r="7" spans="1:10" ht="15">
      <c r="A7" s="171" t="s">
        <v>90</v>
      </c>
      <c r="B7" s="176">
        <v>0</v>
      </c>
      <c r="C7" s="176">
        <v>0</v>
      </c>
      <c r="D7" s="177">
        <f>SUM(B7:C7)</f>
        <v>0</v>
      </c>
      <c r="E7" s="176">
        <v>0</v>
      </c>
      <c r="F7" s="176">
        <v>0</v>
      </c>
      <c r="G7" s="177">
        <f t="shared" si="1"/>
        <v>0</v>
      </c>
      <c r="H7" s="178">
        <f t="shared" si="2"/>
        <v>0</v>
      </c>
      <c r="I7" s="179">
        <f t="shared" si="2"/>
        <v>0</v>
      </c>
      <c r="J7" s="178">
        <f t="shared" si="3"/>
        <v>0</v>
      </c>
    </row>
    <row r="8" spans="1:10" ht="15">
      <c r="A8" s="171" t="s">
        <v>91</v>
      </c>
      <c r="B8" s="176">
        <v>42</v>
      </c>
      <c r="C8" s="176">
        <v>131</v>
      </c>
      <c r="D8" s="177">
        <f t="shared" si="0"/>
        <v>173</v>
      </c>
      <c r="E8" s="176">
        <v>20</v>
      </c>
      <c r="F8" s="176">
        <v>662</v>
      </c>
      <c r="G8" s="177">
        <f t="shared" si="1"/>
        <v>682</v>
      </c>
      <c r="H8" s="178">
        <f t="shared" si="2"/>
        <v>-22</v>
      </c>
      <c r="I8" s="179">
        <f t="shared" si="2"/>
        <v>531</v>
      </c>
      <c r="J8" s="178">
        <f t="shared" si="3"/>
        <v>509</v>
      </c>
    </row>
    <row r="9" spans="1:10" ht="15">
      <c r="A9" s="171" t="s">
        <v>94</v>
      </c>
      <c r="B9" s="176">
        <v>143</v>
      </c>
      <c r="C9" s="176">
        <v>844</v>
      </c>
      <c r="D9" s="177">
        <f t="shared" si="0"/>
        <v>987</v>
      </c>
      <c r="E9" s="176">
        <v>124</v>
      </c>
      <c r="F9" s="176">
        <v>1164</v>
      </c>
      <c r="G9" s="177">
        <f t="shared" si="1"/>
        <v>1288</v>
      </c>
      <c r="H9" s="178">
        <f t="shared" si="2"/>
        <v>-19</v>
      </c>
      <c r="I9" s="179">
        <f t="shared" si="2"/>
        <v>320</v>
      </c>
      <c r="J9" s="178">
        <f t="shared" si="3"/>
        <v>301</v>
      </c>
    </row>
    <row r="10" spans="1:10" ht="15">
      <c r="A10" s="171" t="s">
        <v>98</v>
      </c>
      <c r="B10" s="176">
        <v>31</v>
      </c>
      <c r="C10" s="176">
        <v>256</v>
      </c>
      <c r="D10" s="177">
        <f t="shared" si="0"/>
        <v>287</v>
      </c>
      <c r="E10" s="176">
        <v>24</v>
      </c>
      <c r="F10" s="176">
        <v>229</v>
      </c>
      <c r="G10" s="177">
        <f t="shared" si="1"/>
        <v>253</v>
      </c>
      <c r="H10" s="178">
        <f t="shared" si="2"/>
        <v>-7</v>
      </c>
      <c r="I10" s="179">
        <f t="shared" si="2"/>
        <v>-27</v>
      </c>
      <c r="J10" s="178">
        <f t="shared" si="3"/>
        <v>-34</v>
      </c>
    </row>
    <row r="11" spans="1:10" ht="15">
      <c r="A11" s="171" t="s">
        <v>101</v>
      </c>
      <c r="B11" s="176">
        <v>1971</v>
      </c>
      <c r="C11" s="176">
        <v>263</v>
      </c>
      <c r="D11" s="177">
        <f t="shared" si="0"/>
        <v>2234</v>
      </c>
      <c r="E11" s="176">
        <v>1894</v>
      </c>
      <c r="F11" s="176">
        <v>550</v>
      </c>
      <c r="G11" s="177">
        <f t="shared" si="1"/>
        <v>2444</v>
      </c>
      <c r="H11" s="178">
        <f t="shared" si="2"/>
        <v>-77</v>
      </c>
      <c r="I11" s="179">
        <f t="shared" si="2"/>
        <v>287</v>
      </c>
      <c r="J11" s="178">
        <f t="shared" si="3"/>
        <v>210</v>
      </c>
    </row>
    <row r="12" spans="1:10" ht="15">
      <c r="A12" s="171" t="s">
        <v>106</v>
      </c>
      <c r="B12" s="176">
        <v>328</v>
      </c>
      <c r="C12" s="176">
        <v>288</v>
      </c>
      <c r="D12" s="177">
        <f t="shared" si="0"/>
        <v>616</v>
      </c>
      <c r="E12" s="176">
        <v>374</v>
      </c>
      <c r="F12" s="176">
        <v>409</v>
      </c>
      <c r="G12" s="177">
        <f t="shared" si="1"/>
        <v>783</v>
      </c>
      <c r="H12" s="178">
        <f t="shared" si="2"/>
        <v>46</v>
      </c>
      <c r="I12" s="179">
        <f t="shared" si="2"/>
        <v>121</v>
      </c>
      <c r="J12" s="178">
        <f t="shared" si="3"/>
        <v>167</v>
      </c>
    </row>
    <row r="13" spans="1:10" ht="15">
      <c r="A13" s="171" t="s">
        <v>111</v>
      </c>
      <c r="B13" s="176">
        <v>537</v>
      </c>
      <c r="C13" s="176">
        <v>235</v>
      </c>
      <c r="D13" s="177">
        <f t="shared" si="0"/>
        <v>772</v>
      </c>
      <c r="E13" s="176">
        <v>550</v>
      </c>
      <c r="F13" s="176">
        <v>420</v>
      </c>
      <c r="G13" s="177">
        <f t="shared" si="1"/>
        <v>970</v>
      </c>
      <c r="H13" s="178">
        <f t="shared" si="2"/>
        <v>13</v>
      </c>
      <c r="I13" s="179">
        <f t="shared" si="2"/>
        <v>185</v>
      </c>
      <c r="J13" s="178">
        <f t="shared" si="3"/>
        <v>198</v>
      </c>
    </row>
    <row r="14" spans="1:10" ht="15">
      <c r="A14" s="171" t="s">
        <v>115</v>
      </c>
      <c r="B14" s="176">
        <v>36</v>
      </c>
      <c r="C14" s="176">
        <v>0</v>
      </c>
      <c r="D14" s="177">
        <f t="shared" si="0"/>
        <v>36</v>
      </c>
      <c r="E14" s="176">
        <v>40</v>
      </c>
      <c r="F14" s="176">
        <v>29</v>
      </c>
      <c r="G14" s="177">
        <f t="shared" si="1"/>
        <v>69</v>
      </c>
      <c r="H14" s="178">
        <f t="shared" si="2"/>
        <v>4</v>
      </c>
      <c r="I14" s="179">
        <f t="shared" si="2"/>
        <v>29</v>
      </c>
      <c r="J14" s="178">
        <f t="shared" si="3"/>
        <v>33</v>
      </c>
    </row>
    <row r="15" spans="1:10" ht="15">
      <c r="A15" s="171" t="s">
        <v>120</v>
      </c>
      <c r="B15" s="176">
        <v>42</v>
      </c>
      <c r="C15" s="176">
        <v>174</v>
      </c>
      <c r="D15" s="177">
        <f t="shared" si="0"/>
        <v>216</v>
      </c>
      <c r="E15" s="176">
        <v>26</v>
      </c>
      <c r="F15" s="176">
        <v>348</v>
      </c>
      <c r="G15" s="177">
        <f t="shared" si="1"/>
        <v>374</v>
      </c>
      <c r="H15" s="178">
        <f t="shared" si="2"/>
        <v>-16</v>
      </c>
      <c r="I15" s="179">
        <f t="shared" si="2"/>
        <v>174</v>
      </c>
      <c r="J15" s="178">
        <f t="shared" si="3"/>
        <v>158</v>
      </c>
    </row>
    <row r="16" spans="1:10" ht="15">
      <c r="A16" s="171" t="s">
        <v>127</v>
      </c>
      <c r="B16" s="176">
        <v>358</v>
      </c>
      <c r="C16" s="176">
        <v>482</v>
      </c>
      <c r="D16" s="177">
        <f t="shared" si="0"/>
        <v>840</v>
      </c>
      <c r="E16" s="176">
        <v>282</v>
      </c>
      <c r="F16" s="176">
        <v>629</v>
      </c>
      <c r="G16" s="177">
        <f t="shared" si="1"/>
        <v>911</v>
      </c>
      <c r="H16" s="178">
        <f t="shared" si="2"/>
        <v>-76</v>
      </c>
      <c r="I16" s="179">
        <f t="shared" si="2"/>
        <v>147</v>
      </c>
      <c r="J16" s="178">
        <f t="shared" si="3"/>
        <v>71</v>
      </c>
    </row>
    <row r="17" spans="1:10" ht="15">
      <c r="A17" s="171" t="s">
        <v>133</v>
      </c>
      <c r="B17" s="176">
        <v>0</v>
      </c>
      <c r="C17" s="176">
        <v>15</v>
      </c>
      <c r="D17" s="177">
        <f t="shared" si="0"/>
        <v>15</v>
      </c>
      <c r="E17" s="176">
        <v>86</v>
      </c>
      <c r="F17" s="176">
        <v>11</v>
      </c>
      <c r="G17" s="177">
        <f t="shared" si="1"/>
        <v>97</v>
      </c>
      <c r="H17" s="178">
        <f t="shared" si="2"/>
        <v>86</v>
      </c>
      <c r="I17" s="179">
        <f t="shared" si="2"/>
        <v>-4</v>
      </c>
      <c r="J17" s="178">
        <f t="shared" si="3"/>
        <v>82</v>
      </c>
    </row>
    <row r="18" spans="1:10" ht="15">
      <c r="A18" s="171" t="s">
        <v>137</v>
      </c>
      <c r="B18" s="176">
        <v>46</v>
      </c>
      <c r="C18" s="176">
        <v>0</v>
      </c>
      <c r="D18" s="177">
        <f t="shared" si="0"/>
        <v>46</v>
      </c>
      <c r="E18" s="176">
        <v>121</v>
      </c>
      <c r="F18" s="176">
        <v>0</v>
      </c>
      <c r="G18" s="177">
        <f t="shared" si="1"/>
        <v>121</v>
      </c>
      <c r="H18" s="178">
        <f t="shared" si="2"/>
        <v>75</v>
      </c>
      <c r="I18" s="179">
        <f t="shared" si="2"/>
        <v>0</v>
      </c>
      <c r="J18" s="178">
        <f t="shared" si="3"/>
        <v>75</v>
      </c>
    </row>
    <row r="19" spans="1:10" ht="15">
      <c r="A19" s="171" t="s">
        <v>141</v>
      </c>
      <c r="B19" s="176">
        <v>96</v>
      </c>
      <c r="C19" s="176">
        <v>0</v>
      </c>
      <c r="D19" s="177">
        <f t="shared" si="0"/>
        <v>96</v>
      </c>
      <c r="E19" s="176">
        <v>90</v>
      </c>
      <c r="F19" s="176">
        <v>0</v>
      </c>
      <c r="G19" s="177">
        <f t="shared" si="1"/>
        <v>90</v>
      </c>
      <c r="H19" s="178">
        <f t="shared" si="2"/>
        <v>-6</v>
      </c>
      <c r="I19" s="179">
        <f t="shared" si="2"/>
        <v>0</v>
      </c>
      <c r="J19" s="178">
        <f t="shared" si="3"/>
        <v>-6</v>
      </c>
    </row>
    <row r="20" spans="1:10" ht="15">
      <c r="A20" s="171" t="s">
        <v>142</v>
      </c>
      <c r="B20" s="176">
        <v>22</v>
      </c>
      <c r="C20" s="176">
        <v>0</v>
      </c>
      <c r="D20" s="177">
        <f t="shared" si="0"/>
        <v>22</v>
      </c>
      <c r="E20" s="176">
        <v>40</v>
      </c>
      <c r="F20" s="176">
        <v>0</v>
      </c>
      <c r="G20" s="177">
        <f t="shared" si="1"/>
        <v>40</v>
      </c>
      <c r="H20" s="178">
        <f t="shared" si="2"/>
        <v>18</v>
      </c>
      <c r="I20" s="179">
        <f t="shared" si="2"/>
        <v>0</v>
      </c>
      <c r="J20" s="178">
        <f t="shared" si="3"/>
        <v>18</v>
      </c>
    </row>
    <row r="21" spans="1:10" ht="15">
      <c r="A21" s="171" t="s">
        <v>146</v>
      </c>
      <c r="B21" s="176">
        <v>40</v>
      </c>
      <c r="C21" s="176">
        <v>174</v>
      </c>
      <c r="D21" s="177">
        <f t="shared" si="0"/>
        <v>214</v>
      </c>
      <c r="E21" s="176">
        <v>86</v>
      </c>
      <c r="F21" s="176">
        <v>343</v>
      </c>
      <c r="G21" s="177">
        <f t="shared" si="1"/>
        <v>429</v>
      </c>
      <c r="H21" s="178">
        <f t="shared" si="2"/>
        <v>46</v>
      </c>
      <c r="I21" s="179">
        <f t="shared" si="2"/>
        <v>169</v>
      </c>
      <c r="J21" s="178">
        <f t="shared" si="3"/>
        <v>215</v>
      </c>
    </row>
    <row r="22" spans="1:10" ht="15">
      <c r="A22" s="171" t="s">
        <v>147</v>
      </c>
      <c r="B22" s="176">
        <v>0</v>
      </c>
      <c r="C22" s="176">
        <v>0</v>
      </c>
      <c r="D22" s="177">
        <f>SUM(B22:C22)</f>
        <v>0</v>
      </c>
      <c r="E22" s="176">
        <v>0</v>
      </c>
      <c r="F22" s="176">
        <v>0</v>
      </c>
      <c r="G22" s="177">
        <f t="shared" si="1"/>
        <v>0</v>
      </c>
      <c r="H22" s="178">
        <f t="shared" si="2"/>
        <v>0</v>
      </c>
      <c r="I22" s="179">
        <f t="shared" si="2"/>
        <v>0</v>
      </c>
      <c r="J22" s="178">
        <f t="shared" si="3"/>
        <v>0</v>
      </c>
    </row>
    <row r="23" spans="1:10" ht="15">
      <c r="A23" s="172" t="s">
        <v>188</v>
      </c>
      <c r="B23" s="180">
        <f>SUM(B3:B22)</f>
        <v>4500</v>
      </c>
      <c r="C23" s="180">
        <f>SUM(C3:C22)</f>
        <v>3457</v>
      </c>
      <c r="D23" s="180">
        <f>SUM(D3:D22)</f>
        <v>7957</v>
      </c>
      <c r="E23" s="180">
        <f>SUM(E3:E22)</f>
        <v>5044</v>
      </c>
      <c r="F23" s="180">
        <f>SUM(F3:F22)</f>
        <v>5756</v>
      </c>
      <c r="G23" s="181">
        <f t="shared" si="1"/>
        <v>10800</v>
      </c>
      <c r="H23" s="182">
        <f>E23-B23</f>
        <v>544</v>
      </c>
      <c r="I23" s="182">
        <f t="shared" si="2"/>
        <v>2299</v>
      </c>
      <c r="J23" s="182">
        <f t="shared" si="3"/>
        <v>2843</v>
      </c>
    </row>
    <row r="24" spans="1:10" ht="15">
      <c r="A24" s="173" t="s">
        <v>149</v>
      </c>
      <c r="B24" s="183">
        <v>0</v>
      </c>
      <c r="C24" s="183">
        <v>0</v>
      </c>
      <c r="D24" s="184">
        <v>0</v>
      </c>
      <c r="E24" s="183">
        <v>15</v>
      </c>
      <c r="F24" s="135">
        <v>7</v>
      </c>
      <c r="G24" s="177">
        <f t="shared" si="1"/>
        <v>22</v>
      </c>
      <c r="H24" s="178">
        <f t="shared" si="2"/>
        <v>15</v>
      </c>
      <c r="I24" s="179">
        <f t="shared" si="2"/>
        <v>7</v>
      </c>
      <c r="J24" s="178">
        <f t="shared" si="3"/>
        <v>22</v>
      </c>
    </row>
    <row r="25" spans="1:10" ht="14.25" customHeight="1">
      <c r="A25" s="173" t="s">
        <v>150</v>
      </c>
      <c r="B25" s="183">
        <v>0</v>
      </c>
      <c r="C25" s="183">
        <v>0</v>
      </c>
      <c r="D25" s="184">
        <v>0</v>
      </c>
      <c r="E25" s="183">
        <v>0</v>
      </c>
      <c r="F25" s="135">
        <v>812</v>
      </c>
      <c r="G25" s="177">
        <f t="shared" si="1"/>
        <v>812</v>
      </c>
      <c r="H25" s="178">
        <f t="shared" si="2"/>
        <v>0</v>
      </c>
      <c r="I25" s="179">
        <f t="shared" si="2"/>
        <v>812</v>
      </c>
      <c r="J25" s="178">
        <f t="shared" si="3"/>
        <v>812</v>
      </c>
    </row>
    <row r="26" spans="1:10" ht="15">
      <c r="A26" s="173" t="s">
        <v>151</v>
      </c>
      <c r="B26" s="183">
        <v>0</v>
      </c>
      <c r="C26" s="183">
        <v>0</v>
      </c>
      <c r="D26" s="184">
        <v>0</v>
      </c>
      <c r="E26" s="183">
        <v>0</v>
      </c>
      <c r="F26" s="135">
        <v>0</v>
      </c>
      <c r="G26" s="177">
        <f t="shared" si="1"/>
        <v>0</v>
      </c>
      <c r="H26" s="178">
        <f t="shared" si="2"/>
        <v>0</v>
      </c>
      <c r="I26" s="179">
        <f t="shared" si="2"/>
        <v>0</v>
      </c>
      <c r="J26" s="178">
        <f t="shared" si="3"/>
        <v>0</v>
      </c>
    </row>
    <row r="27" spans="1:10" ht="15">
      <c r="A27" s="173" t="s">
        <v>152</v>
      </c>
      <c r="B27" s="183">
        <v>0</v>
      </c>
      <c r="C27" s="183">
        <v>0</v>
      </c>
      <c r="D27" s="184">
        <v>0</v>
      </c>
      <c r="E27" s="183">
        <v>0</v>
      </c>
      <c r="F27" s="135">
        <v>65</v>
      </c>
      <c r="G27" s="177">
        <f t="shared" si="1"/>
        <v>65</v>
      </c>
      <c r="H27" s="178">
        <f t="shared" si="2"/>
        <v>0</v>
      </c>
      <c r="I27" s="179">
        <f t="shared" si="2"/>
        <v>65</v>
      </c>
      <c r="J27" s="178">
        <f t="shared" si="3"/>
        <v>65</v>
      </c>
    </row>
    <row r="28" spans="1:10" ht="15">
      <c r="A28" s="173" t="s">
        <v>194</v>
      </c>
      <c r="B28" s="183">
        <v>0</v>
      </c>
      <c r="C28" s="183">
        <v>0</v>
      </c>
      <c r="D28" s="184">
        <v>0</v>
      </c>
      <c r="E28" s="183">
        <v>0</v>
      </c>
      <c r="F28" s="135">
        <v>0</v>
      </c>
      <c r="G28" s="177">
        <f t="shared" si="1"/>
        <v>0</v>
      </c>
      <c r="H28" s="178">
        <f t="shared" si="2"/>
        <v>0</v>
      </c>
      <c r="I28" s="179">
        <f t="shared" si="2"/>
        <v>0</v>
      </c>
      <c r="J28" s="178">
        <f t="shared" si="3"/>
        <v>0</v>
      </c>
    </row>
    <row r="29" spans="1:10" ht="15">
      <c r="A29" s="173" t="s">
        <v>195</v>
      </c>
      <c r="B29" s="183">
        <v>0</v>
      </c>
      <c r="C29" s="183">
        <v>0</v>
      </c>
      <c r="D29" s="184">
        <v>0</v>
      </c>
      <c r="E29" s="183">
        <v>0</v>
      </c>
      <c r="F29" s="135">
        <v>0</v>
      </c>
      <c r="G29" s="177">
        <f t="shared" si="1"/>
        <v>0</v>
      </c>
      <c r="H29" s="178">
        <f t="shared" si="2"/>
        <v>0</v>
      </c>
      <c r="I29" s="179">
        <f t="shared" si="2"/>
        <v>0</v>
      </c>
      <c r="J29" s="178">
        <f t="shared" si="3"/>
        <v>0</v>
      </c>
    </row>
    <row r="30" spans="1:10" s="14" customFormat="1" ht="15">
      <c r="A30" s="174" t="s">
        <v>189</v>
      </c>
      <c r="B30" s="165">
        <v>0</v>
      </c>
      <c r="C30" s="165">
        <v>0</v>
      </c>
      <c r="D30" s="165">
        <v>0</v>
      </c>
      <c r="E30" s="165">
        <f>SUM(E24:E29)</f>
        <v>15</v>
      </c>
      <c r="F30" s="165">
        <f>SUM(F24:F29)</f>
        <v>884</v>
      </c>
      <c r="G30" s="181">
        <f t="shared" si="1"/>
        <v>899</v>
      </c>
      <c r="H30" s="182">
        <f t="shared" si="2"/>
        <v>15</v>
      </c>
      <c r="I30" s="182">
        <f t="shared" si="2"/>
        <v>884</v>
      </c>
      <c r="J30" s="182">
        <f t="shared" si="3"/>
        <v>899</v>
      </c>
    </row>
    <row r="31" spans="1:10" ht="14.25">
      <c r="A31" s="175" t="s">
        <v>24</v>
      </c>
      <c r="B31" s="185">
        <f>B23+B30</f>
        <v>4500</v>
      </c>
      <c r="C31" s="185">
        <f>C23+C30</f>
        <v>3457</v>
      </c>
      <c r="D31" s="185">
        <f>D23+D30</f>
        <v>7957</v>
      </c>
      <c r="E31" s="185">
        <f>E23+E30</f>
        <v>5059</v>
      </c>
      <c r="F31" s="185">
        <f>F23+F30</f>
        <v>6640</v>
      </c>
      <c r="G31" s="142">
        <f t="shared" si="1"/>
        <v>11699</v>
      </c>
      <c r="H31" s="186">
        <f t="shared" si="2"/>
        <v>559</v>
      </c>
      <c r="I31" s="186">
        <f t="shared" si="2"/>
        <v>3183</v>
      </c>
      <c r="J31" s="186">
        <f t="shared" si="3"/>
        <v>3742</v>
      </c>
    </row>
    <row r="32" spans="1:10" ht="12.75" customHeight="1">
      <c r="A32" s="571" t="s">
        <v>292</v>
      </c>
      <c r="B32" s="571"/>
      <c r="C32" s="571"/>
      <c r="D32" s="571"/>
      <c r="E32" s="571"/>
      <c r="F32" s="571"/>
      <c r="G32" s="571"/>
      <c r="H32" s="571"/>
      <c r="I32" s="571"/>
      <c r="J32" s="83" t="s">
        <v>217</v>
      </c>
    </row>
    <row r="33" spans="1:9" ht="12.75">
      <c r="A33" s="188"/>
      <c r="B33" s="188"/>
      <c r="C33" s="188"/>
      <c r="D33" s="188"/>
      <c r="E33" s="188"/>
      <c r="F33" s="188"/>
      <c r="G33" s="188"/>
      <c r="H33" s="188"/>
      <c r="I33" s="188"/>
    </row>
    <row r="34" ht="15.75">
      <c r="A34" s="17"/>
    </row>
    <row r="35" ht="15.75">
      <c r="A35" s="17"/>
    </row>
    <row r="36" ht="15.75">
      <c r="A36" s="17"/>
    </row>
    <row r="37" ht="15.75">
      <c r="A37" s="17"/>
    </row>
    <row r="38" ht="15.75">
      <c r="A38" s="17"/>
    </row>
    <row r="39" ht="15.75">
      <c r="A39" s="17"/>
    </row>
    <row r="40" ht="12.75">
      <c r="A40" s="4"/>
    </row>
    <row r="41" ht="12.75">
      <c r="A41" s="4"/>
    </row>
  </sheetData>
  <mergeCells count="2">
    <mergeCell ref="A1:J1"/>
    <mergeCell ref="A32:I3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codeName="Hárok6">
    <tabColor indexed="42"/>
    <pageSetUpPr fitToPage="1"/>
  </sheetPr>
  <dimension ref="A1:J29"/>
  <sheetViews>
    <sheetView zoomScaleSheetLayoutView="100" workbookViewId="0" topLeftCell="A1">
      <pane xSplit="1" ySplit="2" topLeftCell="B3" activePane="bottomRight" state="frozen"/>
      <selection pane="topLeft" activeCell="C12" sqref="C12"/>
      <selection pane="topRight" activeCell="C12" sqref="C12"/>
      <selection pane="bottomLeft" activeCell="C12" sqref="C12"/>
      <selection pane="bottomRight" activeCell="G27" sqref="G27"/>
    </sheetView>
  </sheetViews>
  <sheetFormatPr defaultColWidth="9.140625" defaultRowHeight="12.75"/>
  <cols>
    <col min="1" max="1" width="23.140625" style="0" customWidth="1"/>
    <col min="2" max="10" width="15.7109375" style="0" customWidth="1"/>
  </cols>
  <sheetData>
    <row r="1" spans="1:10" ht="75" customHeight="1">
      <c r="A1" s="570" t="s">
        <v>283</v>
      </c>
      <c r="B1" s="570"/>
      <c r="C1" s="570"/>
      <c r="D1" s="570"/>
      <c r="E1" s="570"/>
      <c r="F1" s="570"/>
      <c r="G1" s="570"/>
      <c r="H1" s="570"/>
      <c r="I1" s="570"/>
      <c r="J1" s="570"/>
    </row>
    <row r="2" spans="1:10" ht="90" customHeight="1">
      <c r="A2" s="187" t="s">
        <v>154</v>
      </c>
      <c r="B2" s="187" t="s">
        <v>212</v>
      </c>
      <c r="C2" s="187" t="s">
        <v>213</v>
      </c>
      <c r="D2" s="187" t="s">
        <v>221</v>
      </c>
      <c r="E2" s="187" t="s">
        <v>37</v>
      </c>
      <c r="F2" s="187" t="s">
        <v>38</v>
      </c>
      <c r="G2" s="187" t="s">
        <v>39</v>
      </c>
      <c r="H2" s="107" t="s">
        <v>40</v>
      </c>
      <c r="I2" s="108" t="s">
        <v>22</v>
      </c>
      <c r="J2" s="107" t="s">
        <v>41</v>
      </c>
    </row>
    <row r="3" spans="1:10" ht="15">
      <c r="A3" s="109" t="s">
        <v>60</v>
      </c>
      <c r="B3" s="189">
        <v>265</v>
      </c>
      <c r="C3" s="189">
        <v>315</v>
      </c>
      <c r="D3" s="190">
        <f>+B3+C3</f>
        <v>580</v>
      </c>
      <c r="E3" s="189">
        <v>321</v>
      </c>
      <c r="F3" s="189">
        <v>299</v>
      </c>
      <c r="G3" s="190">
        <f>+E3+F3</f>
        <v>620</v>
      </c>
      <c r="H3" s="191">
        <f aca="true" t="shared" si="0" ref="H3:H22">+E3-B3</f>
        <v>56</v>
      </c>
      <c r="I3" s="192">
        <f aca="true" t="shared" si="1" ref="I3:I22">+F3-C3</f>
        <v>-16</v>
      </c>
      <c r="J3" s="191">
        <f aca="true" t="shared" si="2" ref="J3:J26">+H3+I3</f>
        <v>40</v>
      </c>
    </row>
    <row r="4" spans="1:10" ht="15">
      <c r="A4" s="109" t="s">
        <v>78</v>
      </c>
      <c r="B4" s="189">
        <v>49</v>
      </c>
      <c r="C4" s="189">
        <v>55</v>
      </c>
      <c r="D4" s="190">
        <f aca="true" t="shared" si="3" ref="D4:D22">+B4+C4</f>
        <v>104</v>
      </c>
      <c r="E4" s="189">
        <v>45</v>
      </c>
      <c r="F4" s="189">
        <v>47</v>
      </c>
      <c r="G4" s="190">
        <f aca="true" t="shared" si="4" ref="G4:G25">+E4+F4</f>
        <v>92</v>
      </c>
      <c r="H4" s="191">
        <f t="shared" si="0"/>
        <v>-4</v>
      </c>
      <c r="I4" s="192">
        <f t="shared" si="1"/>
        <v>-8</v>
      </c>
      <c r="J4" s="191">
        <f t="shared" si="2"/>
        <v>-12</v>
      </c>
    </row>
    <row r="5" spans="1:10" ht="15">
      <c r="A5" s="109" t="s">
        <v>80</v>
      </c>
      <c r="B5" s="189">
        <v>34</v>
      </c>
      <c r="C5" s="189">
        <v>73</v>
      </c>
      <c r="D5" s="190">
        <f t="shared" si="3"/>
        <v>107</v>
      </c>
      <c r="E5" s="189">
        <v>27</v>
      </c>
      <c r="F5" s="189">
        <v>120</v>
      </c>
      <c r="G5" s="190">
        <f t="shared" si="4"/>
        <v>147</v>
      </c>
      <c r="H5" s="191">
        <f t="shared" si="0"/>
        <v>-7</v>
      </c>
      <c r="I5" s="192">
        <f t="shared" si="1"/>
        <v>47</v>
      </c>
      <c r="J5" s="191">
        <f t="shared" si="2"/>
        <v>40</v>
      </c>
    </row>
    <row r="6" spans="1:10" ht="15">
      <c r="A6" s="109" t="s">
        <v>87</v>
      </c>
      <c r="B6" s="189">
        <v>0</v>
      </c>
      <c r="C6" s="189">
        <v>0</v>
      </c>
      <c r="D6" s="190">
        <f t="shared" si="3"/>
        <v>0</v>
      </c>
      <c r="E6" s="189">
        <v>4</v>
      </c>
      <c r="F6" s="189">
        <v>1</v>
      </c>
      <c r="G6" s="190">
        <f t="shared" si="4"/>
        <v>5</v>
      </c>
      <c r="H6" s="191">
        <f t="shared" si="0"/>
        <v>4</v>
      </c>
      <c r="I6" s="192">
        <f t="shared" si="1"/>
        <v>1</v>
      </c>
      <c r="J6" s="191">
        <f t="shared" si="2"/>
        <v>5</v>
      </c>
    </row>
    <row r="7" spans="1:10" ht="15">
      <c r="A7" s="109" t="s">
        <v>90</v>
      </c>
      <c r="B7" s="189">
        <v>22</v>
      </c>
      <c r="C7" s="189">
        <v>12</v>
      </c>
      <c r="D7" s="190">
        <f t="shared" si="3"/>
        <v>34</v>
      </c>
      <c r="E7" s="189">
        <v>22</v>
      </c>
      <c r="F7" s="189">
        <v>15</v>
      </c>
      <c r="G7" s="190">
        <f t="shared" si="4"/>
        <v>37</v>
      </c>
      <c r="H7" s="191">
        <f t="shared" si="0"/>
        <v>0</v>
      </c>
      <c r="I7" s="192">
        <f t="shared" si="1"/>
        <v>3</v>
      </c>
      <c r="J7" s="191">
        <f t="shared" si="2"/>
        <v>3</v>
      </c>
    </row>
    <row r="8" spans="1:10" ht="15">
      <c r="A8" s="109" t="s">
        <v>91</v>
      </c>
      <c r="B8" s="189">
        <v>48</v>
      </c>
      <c r="C8" s="189">
        <v>80</v>
      </c>
      <c r="D8" s="190">
        <f t="shared" si="3"/>
        <v>128</v>
      </c>
      <c r="E8" s="189">
        <v>46</v>
      </c>
      <c r="F8" s="189">
        <v>110</v>
      </c>
      <c r="G8" s="190">
        <f t="shared" si="4"/>
        <v>156</v>
      </c>
      <c r="H8" s="191">
        <f t="shared" si="0"/>
        <v>-2</v>
      </c>
      <c r="I8" s="192">
        <f t="shared" si="1"/>
        <v>30</v>
      </c>
      <c r="J8" s="191">
        <f t="shared" si="2"/>
        <v>28</v>
      </c>
    </row>
    <row r="9" spans="1:10" ht="15">
      <c r="A9" s="109" t="s">
        <v>94</v>
      </c>
      <c r="B9" s="189">
        <v>72</v>
      </c>
      <c r="C9" s="189">
        <v>61</v>
      </c>
      <c r="D9" s="190">
        <f t="shared" si="3"/>
        <v>133</v>
      </c>
      <c r="E9" s="189">
        <v>40</v>
      </c>
      <c r="F9" s="189">
        <v>60</v>
      </c>
      <c r="G9" s="190">
        <f t="shared" si="4"/>
        <v>100</v>
      </c>
      <c r="H9" s="191">
        <f t="shared" si="0"/>
        <v>-32</v>
      </c>
      <c r="I9" s="192">
        <f t="shared" si="1"/>
        <v>-1</v>
      </c>
      <c r="J9" s="191">
        <f t="shared" si="2"/>
        <v>-33</v>
      </c>
    </row>
    <row r="10" spans="1:10" ht="15">
      <c r="A10" s="109" t="s">
        <v>98</v>
      </c>
      <c r="B10" s="189">
        <v>47</v>
      </c>
      <c r="C10" s="189">
        <v>112</v>
      </c>
      <c r="D10" s="190">
        <f t="shared" si="3"/>
        <v>159</v>
      </c>
      <c r="E10" s="189">
        <v>36</v>
      </c>
      <c r="F10" s="189">
        <v>99</v>
      </c>
      <c r="G10" s="190">
        <f t="shared" si="4"/>
        <v>135</v>
      </c>
      <c r="H10" s="191">
        <f t="shared" si="0"/>
        <v>-11</v>
      </c>
      <c r="I10" s="192">
        <f t="shared" si="1"/>
        <v>-13</v>
      </c>
      <c r="J10" s="191">
        <f t="shared" si="2"/>
        <v>-24</v>
      </c>
    </row>
    <row r="11" spans="1:10" ht="15">
      <c r="A11" s="109" t="s">
        <v>101</v>
      </c>
      <c r="B11" s="189">
        <v>226</v>
      </c>
      <c r="C11" s="189">
        <v>186</v>
      </c>
      <c r="D11" s="190">
        <f t="shared" si="3"/>
        <v>412</v>
      </c>
      <c r="E11" s="189">
        <v>222</v>
      </c>
      <c r="F11" s="189">
        <v>128</v>
      </c>
      <c r="G11" s="190">
        <f t="shared" si="4"/>
        <v>350</v>
      </c>
      <c r="H11" s="191">
        <f t="shared" si="0"/>
        <v>-4</v>
      </c>
      <c r="I11" s="192">
        <f t="shared" si="1"/>
        <v>-58</v>
      </c>
      <c r="J11" s="191">
        <f t="shared" si="2"/>
        <v>-62</v>
      </c>
    </row>
    <row r="12" spans="1:10" ht="15">
      <c r="A12" s="109" t="s">
        <v>106</v>
      </c>
      <c r="B12" s="189">
        <v>110</v>
      </c>
      <c r="C12" s="189">
        <v>147</v>
      </c>
      <c r="D12" s="190">
        <f t="shared" si="3"/>
        <v>257</v>
      </c>
      <c r="E12" s="189">
        <v>115</v>
      </c>
      <c r="F12" s="189">
        <v>143</v>
      </c>
      <c r="G12" s="190">
        <f t="shared" si="4"/>
        <v>258</v>
      </c>
      <c r="H12" s="191">
        <f t="shared" si="0"/>
        <v>5</v>
      </c>
      <c r="I12" s="192">
        <f t="shared" si="1"/>
        <v>-4</v>
      </c>
      <c r="J12" s="191">
        <f t="shared" si="2"/>
        <v>1</v>
      </c>
    </row>
    <row r="13" spans="1:10" ht="15">
      <c r="A13" s="109" t="s">
        <v>111</v>
      </c>
      <c r="B13" s="189">
        <v>82</v>
      </c>
      <c r="C13" s="189">
        <v>123</v>
      </c>
      <c r="D13" s="190">
        <f t="shared" si="3"/>
        <v>205</v>
      </c>
      <c r="E13" s="189">
        <v>81</v>
      </c>
      <c r="F13" s="189">
        <v>95</v>
      </c>
      <c r="G13" s="190">
        <f t="shared" si="4"/>
        <v>176</v>
      </c>
      <c r="H13" s="191">
        <f t="shared" si="0"/>
        <v>-1</v>
      </c>
      <c r="I13" s="192">
        <f t="shared" si="1"/>
        <v>-28</v>
      </c>
      <c r="J13" s="191">
        <f t="shared" si="2"/>
        <v>-29</v>
      </c>
    </row>
    <row r="14" spans="1:10" ht="15">
      <c r="A14" s="109" t="s">
        <v>115</v>
      </c>
      <c r="B14" s="189">
        <v>15</v>
      </c>
      <c r="C14" s="189">
        <v>5</v>
      </c>
      <c r="D14" s="190">
        <f t="shared" si="3"/>
        <v>20</v>
      </c>
      <c r="E14" s="189">
        <v>22</v>
      </c>
      <c r="F14" s="189">
        <v>30</v>
      </c>
      <c r="G14" s="190">
        <f t="shared" si="4"/>
        <v>52</v>
      </c>
      <c r="H14" s="191">
        <f t="shared" si="0"/>
        <v>7</v>
      </c>
      <c r="I14" s="192">
        <f t="shared" si="1"/>
        <v>25</v>
      </c>
      <c r="J14" s="191">
        <f t="shared" si="2"/>
        <v>32</v>
      </c>
    </row>
    <row r="15" spans="1:10" ht="15">
      <c r="A15" s="109" t="s">
        <v>120</v>
      </c>
      <c r="B15" s="189">
        <v>57</v>
      </c>
      <c r="C15" s="189">
        <v>122</v>
      </c>
      <c r="D15" s="190">
        <f t="shared" si="3"/>
        <v>179</v>
      </c>
      <c r="E15" s="189">
        <v>96</v>
      </c>
      <c r="F15" s="189">
        <v>130</v>
      </c>
      <c r="G15" s="190">
        <f t="shared" si="4"/>
        <v>226</v>
      </c>
      <c r="H15" s="191">
        <f t="shared" si="0"/>
        <v>39</v>
      </c>
      <c r="I15" s="192">
        <f t="shared" si="1"/>
        <v>8</v>
      </c>
      <c r="J15" s="191">
        <f t="shared" si="2"/>
        <v>47</v>
      </c>
    </row>
    <row r="16" spans="1:10" ht="15">
      <c r="A16" s="109" t="s">
        <v>127</v>
      </c>
      <c r="B16" s="189">
        <v>72</v>
      </c>
      <c r="C16" s="189">
        <v>48</v>
      </c>
      <c r="D16" s="190">
        <f t="shared" si="3"/>
        <v>120</v>
      </c>
      <c r="E16" s="189">
        <v>77</v>
      </c>
      <c r="F16" s="189">
        <v>71</v>
      </c>
      <c r="G16" s="190">
        <f t="shared" si="4"/>
        <v>148</v>
      </c>
      <c r="H16" s="191">
        <f t="shared" si="0"/>
        <v>5</v>
      </c>
      <c r="I16" s="192">
        <f t="shared" si="1"/>
        <v>23</v>
      </c>
      <c r="J16" s="191">
        <f t="shared" si="2"/>
        <v>28</v>
      </c>
    </row>
    <row r="17" spans="1:10" ht="15">
      <c r="A17" s="109" t="s">
        <v>133</v>
      </c>
      <c r="B17" s="189">
        <v>50</v>
      </c>
      <c r="C17" s="189">
        <v>36</v>
      </c>
      <c r="D17" s="190">
        <f t="shared" si="3"/>
        <v>86</v>
      </c>
      <c r="E17" s="189">
        <v>45</v>
      </c>
      <c r="F17" s="189">
        <v>40</v>
      </c>
      <c r="G17" s="190">
        <f t="shared" si="4"/>
        <v>85</v>
      </c>
      <c r="H17" s="191">
        <f t="shared" si="0"/>
        <v>-5</v>
      </c>
      <c r="I17" s="192">
        <f t="shared" si="1"/>
        <v>4</v>
      </c>
      <c r="J17" s="191">
        <f t="shared" si="2"/>
        <v>-1</v>
      </c>
    </row>
    <row r="18" spans="1:10" ht="15">
      <c r="A18" s="109" t="s">
        <v>137</v>
      </c>
      <c r="B18" s="189">
        <v>26</v>
      </c>
      <c r="C18" s="189">
        <v>9</v>
      </c>
      <c r="D18" s="190">
        <f t="shared" si="3"/>
        <v>35</v>
      </c>
      <c r="E18" s="189">
        <v>23</v>
      </c>
      <c r="F18" s="189">
        <v>15</v>
      </c>
      <c r="G18" s="190">
        <f t="shared" si="4"/>
        <v>38</v>
      </c>
      <c r="H18" s="191">
        <f t="shared" si="0"/>
        <v>-3</v>
      </c>
      <c r="I18" s="192">
        <f t="shared" si="1"/>
        <v>6</v>
      </c>
      <c r="J18" s="191">
        <f t="shared" si="2"/>
        <v>3</v>
      </c>
    </row>
    <row r="19" spans="1:10" ht="15">
      <c r="A19" s="109" t="s">
        <v>141</v>
      </c>
      <c r="B19" s="189">
        <v>13</v>
      </c>
      <c r="C19" s="189">
        <v>12</v>
      </c>
      <c r="D19" s="190">
        <f t="shared" si="3"/>
        <v>25</v>
      </c>
      <c r="E19" s="189">
        <v>14</v>
      </c>
      <c r="F19" s="189">
        <v>7</v>
      </c>
      <c r="G19" s="190">
        <f t="shared" si="4"/>
        <v>21</v>
      </c>
      <c r="H19" s="191">
        <f t="shared" si="0"/>
        <v>1</v>
      </c>
      <c r="I19" s="192">
        <f t="shared" si="1"/>
        <v>-5</v>
      </c>
      <c r="J19" s="191">
        <f t="shared" si="2"/>
        <v>-4</v>
      </c>
    </row>
    <row r="20" spans="1:10" ht="15">
      <c r="A20" s="109" t="s">
        <v>142</v>
      </c>
      <c r="B20" s="189">
        <v>0</v>
      </c>
      <c r="C20" s="189">
        <v>0</v>
      </c>
      <c r="D20" s="190">
        <f t="shared" si="3"/>
        <v>0</v>
      </c>
      <c r="E20" s="189">
        <v>8</v>
      </c>
      <c r="F20" s="189">
        <v>0</v>
      </c>
      <c r="G20" s="190">
        <f t="shared" si="4"/>
        <v>8</v>
      </c>
      <c r="H20" s="191">
        <f t="shared" si="0"/>
        <v>8</v>
      </c>
      <c r="I20" s="192">
        <f t="shared" si="1"/>
        <v>0</v>
      </c>
      <c r="J20" s="191">
        <f t="shared" si="2"/>
        <v>8</v>
      </c>
    </row>
    <row r="21" spans="1:10" ht="15">
      <c r="A21" s="109" t="s">
        <v>146</v>
      </c>
      <c r="B21" s="189">
        <v>19</v>
      </c>
      <c r="C21" s="189">
        <v>36</v>
      </c>
      <c r="D21" s="190">
        <f t="shared" si="3"/>
        <v>55</v>
      </c>
      <c r="E21" s="189">
        <v>16</v>
      </c>
      <c r="F21" s="189">
        <v>48</v>
      </c>
      <c r="G21" s="190">
        <f t="shared" si="4"/>
        <v>64</v>
      </c>
      <c r="H21" s="191">
        <f t="shared" si="0"/>
        <v>-3</v>
      </c>
      <c r="I21" s="192">
        <f t="shared" si="1"/>
        <v>12</v>
      </c>
      <c r="J21" s="191">
        <f t="shared" si="2"/>
        <v>9</v>
      </c>
    </row>
    <row r="22" spans="1:10" ht="15">
      <c r="A22" s="109" t="s">
        <v>147</v>
      </c>
      <c r="B22" s="189">
        <v>0</v>
      </c>
      <c r="C22" s="189">
        <v>0</v>
      </c>
      <c r="D22" s="190">
        <f t="shared" si="3"/>
        <v>0</v>
      </c>
      <c r="E22" s="189">
        <v>4</v>
      </c>
      <c r="F22" s="189">
        <v>4</v>
      </c>
      <c r="G22" s="190">
        <f t="shared" si="4"/>
        <v>8</v>
      </c>
      <c r="H22" s="191">
        <f t="shared" si="0"/>
        <v>4</v>
      </c>
      <c r="I22" s="192">
        <f t="shared" si="1"/>
        <v>4</v>
      </c>
      <c r="J22" s="191">
        <f t="shared" si="2"/>
        <v>8</v>
      </c>
    </row>
    <row r="23" spans="1:10" ht="15">
      <c r="A23" s="110" t="s">
        <v>188</v>
      </c>
      <c r="B23" s="182">
        <f aca="true" t="shared" si="5" ref="B23:I23">SUM(B3:B22)</f>
        <v>1207</v>
      </c>
      <c r="C23" s="182">
        <f t="shared" si="5"/>
        <v>1432</v>
      </c>
      <c r="D23" s="182">
        <f t="shared" si="5"/>
        <v>2639</v>
      </c>
      <c r="E23" s="182">
        <f t="shared" si="5"/>
        <v>1264</v>
      </c>
      <c r="F23" s="182">
        <f t="shared" si="5"/>
        <v>1462</v>
      </c>
      <c r="G23" s="182">
        <f t="shared" si="5"/>
        <v>2726</v>
      </c>
      <c r="H23" s="182">
        <f t="shared" si="5"/>
        <v>57</v>
      </c>
      <c r="I23" s="182">
        <f t="shared" si="5"/>
        <v>30</v>
      </c>
      <c r="J23" s="193">
        <f t="shared" si="2"/>
        <v>87</v>
      </c>
    </row>
    <row r="24" spans="1:10" ht="15">
      <c r="A24" s="109" t="s">
        <v>229</v>
      </c>
      <c r="B24" s="194">
        <v>0</v>
      </c>
      <c r="C24" s="194">
        <v>29</v>
      </c>
      <c r="D24" s="194">
        <f>+B24+C24</f>
        <v>29</v>
      </c>
      <c r="E24" s="194">
        <v>7</v>
      </c>
      <c r="F24" s="194">
        <v>51</v>
      </c>
      <c r="G24" s="190">
        <f t="shared" si="4"/>
        <v>58</v>
      </c>
      <c r="H24" s="191">
        <f>+E24-B24</f>
        <v>7</v>
      </c>
      <c r="I24" s="192">
        <f>F24-C24</f>
        <v>22</v>
      </c>
      <c r="J24" s="191">
        <f t="shared" si="2"/>
        <v>29</v>
      </c>
    </row>
    <row r="25" spans="1:10" ht="15">
      <c r="A25" s="111" t="s">
        <v>152</v>
      </c>
      <c r="B25" s="194">
        <v>0</v>
      </c>
      <c r="C25" s="194">
        <v>0</v>
      </c>
      <c r="D25" s="194">
        <f>+B25+C25</f>
        <v>0</v>
      </c>
      <c r="E25" s="194">
        <v>5</v>
      </c>
      <c r="F25" s="194">
        <v>24</v>
      </c>
      <c r="G25" s="190">
        <f t="shared" si="4"/>
        <v>29</v>
      </c>
      <c r="H25" s="191">
        <f>+E25-B25</f>
        <v>5</v>
      </c>
      <c r="I25" s="192">
        <f>F25-C25</f>
        <v>24</v>
      </c>
      <c r="J25" s="191">
        <f t="shared" si="2"/>
        <v>29</v>
      </c>
    </row>
    <row r="26" spans="1:10" ht="15">
      <c r="A26" s="110" t="s">
        <v>189</v>
      </c>
      <c r="B26" s="182">
        <f aca="true" t="shared" si="6" ref="B26:I26">SUM(B24:B25)</f>
        <v>0</v>
      </c>
      <c r="C26" s="182">
        <f t="shared" si="6"/>
        <v>29</v>
      </c>
      <c r="D26" s="182">
        <f t="shared" si="6"/>
        <v>29</v>
      </c>
      <c r="E26" s="182">
        <f t="shared" si="6"/>
        <v>12</v>
      </c>
      <c r="F26" s="182">
        <f t="shared" si="6"/>
        <v>75</v>
      </c>
      <c r="G26" s="182">
        <f t="shared" si="6"/>
        <v>87</v>
      </c>
      <c r="H26" s="182">
        <f t="shared" si="6"/>
        <v>12</v>
      </c>
      <c r="I26" s="182">
        <f t="shared" si="6"/>
        <v>46</v>
      </c>
      <c r="J26" s="193">
        <f t="shared" si="2"/>
        <v>58</v>
      </c>
    </row>
    <row r="27" spans="1:10" ht="15.75" customHeight="1">
      <c r="A27" s="112" t="s">
        <v>243</v>
      </c>
      <c r="B27" s="195">
        <f aca="true" t="shared" si="7" ref="B27:J27">+B23+B26</f>
        <v>1207</v>
      </c>
      <c r="C27" s="195">
        <f t="shared" si="7"/>
        <v>1461</v>
      </c>
      <c r="D27" s="195">
        <f t="shared" si="7"/>
        <v>2668</v>
      </c>
      <c r="E27" s="195">
        <f t="shared" si="7"/>
        <v>1276</v>
      </c>
      <c r="F27" s="195">
        <f t="shared" si="7"/>
        <v>1537</v>
      </c>
      <c r="G27" s="195">
        <f t="shared" si="7"/>
        <v>2813</v>
      </c>
      <c r="H27" s="195">
        <f t="shared" si="7"/>
        <v>69</v>
      </c>
      <c r="I27" s="195">
        <f t="shared" si="7"/>
        <v>76</v>
      </c>
      <c r="J27" s="195">
        <f t="shared" si="7"/>
        <v>145</v>
      </c>
    </row>
    <row r="28" spans="1:10" ht="12.75">
      <c r="A28" s="197" t="s">
        <v>263</v>
      </c>
      <c r="B28" s="1"/>
      <c r="C28" s="1"/>
      <c r="D28" s="1"/>
      <c r="E28" s="126"/>
      <c r="F28" s="126"/>
      <c r="G28" s="196"/>
      <c r="H28" s="126"/>
      <c r="I28" s="126"/>
      <c r="J28" s="198" t="s">
        <v>217</v>
      </c>
    </row>
    <row r="29" spans="1:10" ht="12.75">
      <c r="A29" s="197" t="s">
        <v>293</v>
      </c>
      <c r="B29" s="126"/>
      <c r="C29" s="126"/>
      <c r="D29" s="126"/>
      <c r="E29" s="126"/>
      <c r="F29" s="126"/>
      <c r="G29" s="196"/>
      <c r="H29" s="126"/>
      <c r="I29" s="126"/>
      <c r="J29" s="126"/>
    </row>
  </sheetData>
  <mergeCells count="1">
    <mergeCell ref="A1:J1"/>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codeName="Hárok7">
    <tabColor indexed="42"/>
    <pageSetUpPr fitToPage="1"/>
  </sheetPr>
  <dimension ref="A1:N55"/>
  <sheetViews>
    <sheetView zoomScaleSheetLayoutView="100" workbookViewId="0" topLeftCell="A1">
      <pane xSplit="1" ySplit="2" topLeftCell="D28" activePane="bottomRight" state="frozen"/>
      <selection pane="topLeft" activeCell="E7" sqref="E7"/>
      <selection pane="topRight" activeCell="E7" sqref="E7"/>
      <selection pane="bottomLeft" activeCell="E7" sqref="E7"/>
      <selection pane="bottomRight" activeCell="N55" sqref="N55"/>
    </sheetView>
  </sheetViews>
  <sheetFormatPr defaultColWidth="9.140625" defaultRowHeight="12.75"/>
  <cols>
    <col min="1" max="1" width="25.7109375" style="0" customWidth="1"/>
    <col min="2" max="10" width="15.7109375" style="0" customWidth="1"/>
  </cols>
  <sheetData>
    <row r="1" spans="1:10" ht="75" customHeight="1">
      <c r="A1" s="572" t="s">
        <v>237</v>
      </c>
      <c r="B1" s="572"/>
      <c r="C1" s="572"/>
      <c r="D1" s="572"/>
      <c r="E1" s="572"/>
      <c r="F1" s="572"/>
      <c r="G1" s="572"/>
      <c r="H1" s="572"/>
      <c r="I1" s="572"/>
      <c r="J1" s="572"/>
    </row>
    <row r="2" spans="1:10" ht="97.5" customHeight="1">
      <c r="A2" s="128" t="s">
        <v>154</v>
      </c>
      <c r="B2" s="128" t="s">
        <v>214</v>
      </c>
      <c r="C2" s="128" t="s">
        <v>215</v>
      </c>
      <c r="D2" s="128" t="s">
        <v>216</v>
      </c>
      <c r="E2" s="128" t="s">
        <v>239</v>
      </c>
      <c r="F2" s="128" t="s">
        <v>240</v>
      </c>
      <c r="G2" s="128" t="s">
        <v>241</v>
      </c>
      <c r="H2" s="36" t="s">
        <v>294</v>
      </c>
      <c r="I2" s="37" t="s">
        <v>295</v>
      </c>
      <c r="J2" s="36" t="s">
        <v>296</v>
      </c>
    </row>
    <row r="3" spans="1:10" ht="15">
      <c r="A3" s="201" t="s">
        <v>60</v>
      </c>
      <c r="B3" s="202">
        <v>777</v>
      </c>
      <c r="C3" s="202">
        <v>641</v>
      </c>
      <c r="D3" s="203">
        <f>+B3+C3</f>
        <v>1418</v>
      </c>
      <c r="E3" s="203">
        <v>724</v>
      </c>
      <c r="F3" s="203">
        <v>718</v>
      </c>
      <c r="G3" s="203">
        <f aca="true" t="shared" si="0" ref="G3:G27">SUM(E3:F3)</f>
        <v>1442</v>
      </c>
      <c r="H3" s="204">
        <f>E3-B3</f>
        <v>-53</v>
      </c>
      <c r="I3" s="205">
        <f>F3-C3</f>
        <v>77</v>
      </c>
      <c r="J3" s="204">
        <f>G3-D3</f>
        <v>24</v>
      </c>
    </row>
    <row r="4" spans="1:10" ht="15">
      <c r="A4" s="201" t="s">
        <v>78</v>
      </c>
      <c r="B4" s="202">
        <v>274</v>
      </c>
      <c r="C4" s="202">
        <v>0</v>
      </c>
      <c r="D4" s="203">
        <f aca="true" t="shared" si="1" ref="D4:D22">+B4+C4</f>
        <v>274</v>
      </c>
      <c r="E4" s="203">
        <v>299</v>
      </c>
      <c r="F4" s="203">
        <v>227</v>
      </c>
      <c r="G4" s="203">
        <f t="shared" si="0"/>
        <v>526</v>
      </c>
      <c r="H4" s="204">
        <f>E4-B4</f>
        <v>25</v>
      </c>
      <c r="I4" s="205">
        <f aca="true" t="shared" si="2" ref="I4:I22">F4-C4</f>
        <v>227</v>
      </c>
      <c r="J4" s="204">
        <f aca="true" t="shared" si="3" ref="J4:J22">G4-D4</f>
        <v>252</v>
      </c>
    </row>
    <row r="5" spans="1:10" ht="15">
      <c r="A5" s="201" t="s">
        <v>80</v>
      </c>
      <c r="B5" s="202">
        <v>92</v>
      </c>
      <c r="C5" s="202">
        <v>44</v>
      </c>
      <c r="D5" s="203">
        <f t="shared" si="1"/>
        <v>136</v>
      </c>
      <c r="E5" s="203">
        <v>96</v>
      </c>
      <c r="F5" s="203">
        <v>378</v>
      </c>
      <c r="G5" s="203">
        <f t="shared" si="0"/>
        <v>474</v>
      </c>
      <c r="H5" s="204">
        <f>E5-B5</f>
        <v>4</v>
      </c>
      <c r="I5" s="205">
        <f t="shared" si="2"/>
        <v>334</v>
      </c>
      <c r="J5" s="204">
        <f t="shared" si="3"/>
        <v>338</v>
      </c>
    </row>
    <row r="6" spans="1:10" ht="15">
      <c r="A6" s="201" t="s">
        <v>87</v>
      </c>
      <c r="B6" s="202">
        <v>178</v>
      </c>
      <c r="C6" s="202">
        <v>167</v>
      </c>
      <c r="D6" s="203">
        <f t="shared" si="1"/>
        <v>345</v>
      </c>
      <c r="E6" s="203">
        <v>167</v>
      </c>
      <c r="F6" s="203">
        <v>227</v>
      </c>
      <c r="G6" s="203">
        <f t="shared" si="0"/>
        <v>394</v>
      </c>
      <c r="H6" s="204">
        <f aca="true" t="shared" si="4" ref="H6:H22">E6-B6</f>
        <v>-11</v>
      </c>
      <c r="I6" s="205">
        <f t="shared" si="2"/>
        <v>60</v>
      </c>
      <c r="J6" s="204">
        <f t="shared" si="3"/>
        <v>49</v>
      </c>
    </row>
    <row r="7" spans="1:10" ht="15">
      <c r="A7" s="201" t="s">
        <v>90</v>
      </c>
      <c r="B7" s="202">
        <v>0</v>
      </c>
      <c r="C7" s="202">
        <v>0</v>
      </c>
      <c r="D7" s="203">
        <f t="shared" si="1"/>
        <v>0</v>
      </c>
      <c r="E7" s="203">
        <v>0</v>
      </c>
      <c r="F7" s="203">
        <v>0</v>
      </c>
      <c r="G7" s="203">
        <f t="shared" si="0"/>
        <v>0</v>
      </c>
      <c r="H7" s="204">
        <f t="shared" si="4"/>
        <v>0</v>
      </c>
      <c r="I7" s="205">
        <f t="shared" si="2"/>
        <v>0</v>
      </c>
      <c r="J7" s="204">
        <f t="shared" si="3"/>
        <v>0</v>
      </c>
    </row>
    <row r="8" spans="1:10" ht="15">
      <c r="A8" s="201" t="s">
        <v>91</v>
      </c>
      <c r="B8" s="202">
        <v>89</v>
      </c>
      <c r="C8" s="202">
        <v>439</v>
      </c>
      <c r="D8" s="203">
        <f t="shared" si="1"/>
        <v>528</v>
      </c>
      <c r="E8" s="203">
        <v>183</v>
      </c>
      <c r="F8" s="203">
        <v>848</v>
      </c>
      <c r="G8" s="203">
        <f t="shared" si="0"/>
        <v>1031</v>
      </c>
      <c r="H8" s="204">
        <f t="shared" si="4"/>
        <v>94</v>
      </c>
      <c r="I8" s="205">
        <f t="shared" si="2"/>
        <v>409</v>
      </c>
      <c r="J8" s="204">
        <f t="shared" si="3"/>
        <v>503</v>
      </c>
    </row>
    <row r="9" spans="1:10" ht="15">
      <c r="A9" s="201" t="s">
        <v>94</v>
      </c>
      <c r="B9" s="202">
        <v>271</v>
      </c>
      <c r="C9" s="202">
        <v>961</v>
      </c>
      <c r="D9" s="203">
        <f t="shared" si="1"/>
        <v>1232</v>
      </c>
      <c r="E9" s="203">
        <v>144</v>
      </c>
      <c r="F9" s="203">
        <v>1824</v>
      </c>
      <c r="G9" s="203">
        <f t="shared" si="0"/>
        <v>1968</v>
      </c>
      <c r="H9" s="204">
        <f t="shared" si="4"/>
        <v>-127</v>
      </c>
      <c r="I9" s="205">
        <f t="shared" si="2"/>
        <v>863</v>
      </c>
      <c r="J9" s="204">
        <f t="shared" si="3"/>
        <v>736</v>
      </c>
    </row>
    <row r="10" spans="1:10" ht="15">
      <c r="A10" s="201" t="s">
        <v>98</v>
      </c>
      <c r="B10" s="202">
        <v>5</v>
      </c>
      <c r="C10" s="202">
        <v>494</v>
      </c>
      <c r="D10" s="203">
        <f t="shared" si="1"/>
        <v>499</v>
      </c>
      <c r="E10" s="203">
        <v>15</v>
      </c>
      <c r="F10" s="203">
        <v>608</v>
      </c>
      <c r="G10" s="203">
        <f t="shared" si="0"/>
        <v>623</v>
      </c>
      <c r="H10" s="204">
        <f t="shared" si="4"/>
        <v>10</v>
      </c>
      <c r="I10" s="205">
        <f t="shared" si="2"/>
        <v>114</v>
      </c>
      <c r="J10" s="204">
        <f t="shared" si="3"/>
        <v>124</v>
      </c>
    </row>
    <row r="11" spans="1:10" ht="15">
      <c r="A11" s="201" t="s">
        <v>101</v>
      </c>
      <c r="B11" s="202">
        <v>1804</v>
      </c>
      <c r="C11" s="202">
        <v>238</v>
      </c>
      <c r="D11" s="203">
        <f t="shared" si="1"/>
        <v>2042</v>
      </c>
      <c r="E11" s="203">
        <v>1620</v>
      </c>
      <c r="F11" s="203">
        <v>323</v>
      </c>
      <c r="G11" s="203">
        <f t="shared" si="0"/>
        <v>1943</v>
      </c>
      <c r="H11" s="204">
        <f t="shared" si="4"/>
        <v>-184</v>
      </c>
      <c r="I11" s="205">
        <f t="shared" si="2"/>
        <v>85</v>
      </c>
      <c r="J11" s="204">
        <f t="shared" si="3"/>
        <v>-99</v>
      </c>
    </row>
    <row r="12" spans="1:10" ht="15">
      <c r="A12" s="201" t="s">
        <v>106</v>
      </c>
      <c r="B12" s="202">
        <v>360</v>
      </c>
      <c r="C12" s="202">
        <v>306</v>
      </c>
      <c r="D12" s="203">
        <f t="shared" si="1"/>
        <v>666</v>
      </c>
      <c r="E12" s="203">
        <v>411</v>
      </c>
      <c r="F12" s="203">
        <v>310</v>
      </c>
      <c r="G12" s="203">
        <f t="shared" si="0"/>
        <v>721</v>
      </c>
      <c r="H12" s="204">
        <f t="shared" si="4"/>
        <v>51</v>
      </c>
      <c r="I12" s="205">
        <f t="shared" si="2"/>
        <v>4</v>
      </c>
      <c r="J12" s="204">
        <f t="shared" si="3"/>
        <v>55</v>
      </c>
    </row>
    <row r="13" spans="1:10" ht="15">
      <c r="A13" s="201" t="s">
        <v>111</v>
      </c>
      <c r="B13" s="202">
        <v>602</v>
      </c>
      <c r="C13" s="202">
        <v>225</v>
      </c>
      <c r="D13" s="203">
        <f t="shared" si="1"/>
        <v>827</v>
      </c>
      <c r="E13" s="203">
        <v>629</v>
      </c>
      <c r="F13" s="203">
        <v>223</v>
      </c>
      <c r="G13" s="203">
        <f t="shared" si="0"/>
        <v>852</v>
      </c>
      <c r="H13" s="204">
        <f t="shared" si="4"/>
        <v>27</v>
      </c>
      <c r="I13" s="205">
        <f t="shared" si="2"/>
        <v>-2</v>
      </c>
      <c r="J13" s="204">
        <f t="shared" si="3"/>
        <v>25</v>
      </c>
    </row>
    <row r="14" spans="1:10" ht="15">
      <c r="A14" s="201" t="s">
        <v>115</v>
      </c>
      <c r="B14" s="202">
        <v>61</v>
      </c>
      <c r="C14" s="202">
        <v>44</v>
      </c>
      <c r="D14" s="203">
        <f t="shared" si="1"/>
        <v>105</v>
      </c>
      <c r="E14" s="203">
        <v>38</v>
      </c>
      <c r="F14" s="203">
        <v>7</v>
      </c>
      <c r="G14" s="203">
        <f t="shared" si="0"/>
        <v>45</v>
      </c>
      <c r="H14" s="204">
        <f t="shared" si="4"/>
        <v>-23</v>
      </c>
      <c r="I14" s="205">
        <f t="shared" si="2"/>
        <v>-37</v>
      </c>
      <c r="J14" s="204">
        <f t="shared" si="3"/>
        <v>-60</v>
      </c>
    </row>
    <row r="15" spans="1:10" ht="15">
      <c r="A15" s="201" t="s">
        <v>120</v>
      </c>
      <c r="B15" s="202">
        <v>55</v>
      </c>
      <c r="C15" s="202">
        <v>280</v>
      </c>
      <c r="D15" s="203">
        <f t="shared" si="1"/>
        <v>335</v>
      </c>
      <c r="E15" s="203">
        <v>42</v>
      </c>
      <c r="F15" s="203">
        <v>335</v>
      </c>
      <c r="G15" s="203">
        <f t="shared" si="0"/>
        <v>377</v>
      </c>
      <c r="H15" s="204">
        <f t="shared" si="4"/>
        <v>-13</v>
      </c>
      <c r="I15" s="205">
        <f t="shared" si="2"/>
        <v>55</v>
      </c>
      <c r="J15" s="204">
        <f t="shared" si="3"/>
        <v>42</v>
      </c>
    </row>
    <row r="16" spans="1:10" ht="15">
      <c r="A16" s="201" t="s">
        <v>127</v>
      </c>
      <c r="B16" s="202">
        <v>354</v>
      </c>
      <c r="C16" s="202">
        <v>452</v>
      </c>
      <c r="D16" s="203">
        <f t="shared" si="1"/>
        <v>806</v>
      </c>
      <c r="E16" s="203">
        <v>272</v>
      </c>
      <c r="F16" s="203">
        <v>482</v>
      </c>
      <c r="G16" s="203">
        <f t="shared" si="0"/>
        <v>754</v>
      </c>
      <c r="H16" s="204">
        <f t="shared" si="4"/>
        <v>-82</v>
      </c>
      <c r="I16" s="205">
        <f t="shared" si="2"/>
        <v>30</v>
      </c>
      <c r="J16" s="204">
        <f t="shared" si="3"/>
        <v>-52</v>
      </c>
    </row>
    <row r="17" spans="1:10" ht="15">
      <c r="A17" s="201" t="s">
        <v>133</v>
      </c>
      <c r="B17" s="202">
        <v>80</v>
      </c>
      <c r="C17" s="202">
        <v>0</v>
      </c>
      <c r="D17" s="203">
        <f t="shared" si="1"/>
        <v>80</v>
      </c>
      <c r="E17" s="203">
        <v>77</v>
      </c>
      <c r="F17" s="203">
        <v>0</v>
      </c>
      <c r="G17" s="203">
        <f t="shared" si="0"/>
        <v>77</v>
      </c>
      <c r="H17" s="204">
        <f t="shared" si="4"/>
        <v>-3</v>
      </c>
      <c r="I17" s="205">
        <f t="shared" si="2"/>
        <v>0</v>
      </c>
      <c r="J17" s="204">
        <f t="shared" si="3"/>
        <v>-3</v>
      </c>
    </row>
    <row r="18" spans="1:10" ht="15">
      <c r="A18" s="201" t="s">
        <v>137</v>
      </c>
      <c r="B18" s="202">
        <v>129</v>
      </c>
      <c r="C18" s="202">
        <v>4</v>
      </c>
      <c r="D18" s="203">
        <f t="shared" si="1"/>
        <v>133</v>
      </c>
      <c r="E18" s="203">
        <v>116</v>
      </c>
      <c r="F18" s="203">
        <v>10</v>
      </c>
      <c r="G18" s="203">
        <f t="shared" si="0"/>
        <v>126</v>
      </c>
      <c r="H18" s="204">
        <f t="shared" si="4"/>
        <v>-13</v>
      </c>
      <c r="I18" s="205">
        <f t="shared" si="2"/>
        <v>6</v>
      </c>
      <c r="J18" s="204">
        <f t="shared" si="3"/>
        <v>-7</v>
      </c>
    </row>
    <row r="19" spans="1:10" ht="15">
      <c r="A19" s="201" t="s">
        <v>141</v>
      </c>
      <c r="B19" s="202">
        <v>76</v>
      </c>
      <c r="C19" s="202">
        <v>0</v>
      </c>
      <c r="D19" s="203">
        <f t="shared" si="1"/>
        <v>76</v>
      </c>
      <c r="E19" s="203">
        <v>76</v>
      </c>
      <c r="F19" s="203">
        <v>0</v>
      </c>
      <c r="G19" s="203">
        <f t="shared" si="0"/>
        <v>76</v>
      </c>
      <c r="H19" s="204">
        <f t="shared" si="4"/>
        <v>0</v>
      </c>
      <c r="I19" s="205">
        <f t="shared" si="2"/>
        <v>0</v>
      </c>
      <c r="J19" s="204">
        <f t="shared" si="3"/>
        <v>0</v>
      </c>
    </row>
    <row r="20" spans="1:10" ht="15">
      <c r="A20" s="201" t="s">
        <v>142</v>
      </c>
      <c r="B20" s="202">
        <v>20</v>
      </c>
      <c r="C20" s="202">
        <v>0</v>
      </c>
      <c r="D20" s="203">
        <f t="shared" si="1"/>
        <v>20</v>
      </c>
      <c r="E20" s="203">
        <v>41</v>
      </c>
      <c r="F20" s="203">
        <v>0</v>
      </c>
      <c r="G20" s="203">
        <f t="shared" si="0"/>
        <v>41</v>
      </c>
      <c r="H20" s="204">
        <f t="shared" si="4"/>
        <v>21</v>
      </c>
      <c r="I20" s="205">
        <f t="shared" si="2"/>
        <v>0</v>
      </c>
      <c r="J20" s="204">
        <f t="shared" si="3"/>
        <v>21</v>
      </c>
    </row>
    <row r="21" spans="1:10" ht="15">
      <c r="A21" s="201" t="s">
        <v>146</v>
      </c>
      <c r="B21" s="202">
        <v>36</v>
      </c>
      <c r="C21" s="202">
        <v>182</v>
      </c>
      <c r="D21" s="203">
        <f t="shared" si="1"/>
        <v>218</v>
      </c>
      <c r="E21" s="203">
        <v>150</v>
      </c>
      <c r="F21" s="203">
        <v>636</v>
      </c>
      <c r="G21" s="203">
        <f t="shared" si="0"/>
        <v>786</v>
      </c>
      <c r="H21" s="204">
        <f t="shared" si="4"/>
        <v>114</v>
      </c>
      <c r="I21" s="205">
        <f t="shared" si="2"/>
        <v>454</v>
      </c>
      <c r="J21" s="204">
        <f t="shared" si="3"/>
        <v>568</v>
      </c>
    </row>
    <row r="22" spans="1:10" ht="15">
      <c r="A22" s="201" t="s">
        <v>147</v>
      </c>
      <c r="B22" s="202">
        <v>0</v>
      </c>
      <c r="C22" s="202">
        <v>0</v>
      </c>
      <c r="D22" s="203">
        <f t="shared" si="1"/>
        <v>0</v>
      </c>
      <c r="E22" s="203">
        <v>0</v>
      </c>
      <c r="F22" s="203">
        <v>0</v>
      </c>
      <c r="G22" s="203">
        <f t="shared" si="0"/>
        <v>0</v>
      </c>
      <c r="H22" s="204">
        <f t="shared" si="4"/>
        <v>0</v>
      </c>
      <c r="I22" s="205">
        <f t="shared" si="2"/>
        <v>0</v>
      </c>
      <c r="J22" s="204">
        <f t="shared" si="3"/>
        <v>0</v>
      </c>
    </row>
    <row r="23" spans="1:10" ht="15">
      <c r="A23" s="206" t="s">
        <v>188</v>
      </c>
      <c r="B23" s="207">
        <f>SUM(B3:B22)</f>
        <v>5263</v>
      </c>
      <c r="C23" s="207">
        <f>SUM(C3:C22)</f>
        <v>4477</v>
      </c>
      <c r="D23" s="207">
        <f>SUM(D3:D22)</f>
        <v>9740</v>
      </c>
      <c r="E23" s="207">
        <f>SUM(E3:E22)</f>
        <v>5100</v>
      </c>
      <c r="F23" s="207">
        <f>SUM(F3:F22)</f>
        <v>7156</v>
      </c>
      <c r="G23" s="207">
        <f t="shared" si="0"/>
        <v>12256</v>
      </c>
      <c r="H23" s="207">
        <f aca="true" t="shared" si="5" ref="H23:H35">E23-B23</f>
        <v>-163</v>
      </c>
      <c r="I23" s="207">
        <f aca="true" t="shared" si="6" ref="I23:I35">F23-C23</f>
        <v>2679</v>
      </c>
      <c r="J23" s="207">
        <f aca="true" t="shared" si="7" ref="J23:J34">G23-D23</f>
        <v>2516</v>
      </c>
    </row>
    <row r="24" spans="1:10" ht="15">
      <c r="A24" s="201" t="s">
        <v>149</v>
      </c>
      <c r="B24" s="202">
        <v>49</v>
      </c>
      <c r="C24" s="202">
        <v>11</v>
      </c>
      <c r="D24" s="203">
        <f>+B24+C24</f>
        <v>60</v>
      </c>
      <c r="E24" s="203">
        <v>42</v>
      </c>
      <c r="F24" s="203">
        <v>23</v>
      </c>
      <c r="G24" s="203">
        <f t="shared" si="0"/>
        <v>65</v>
      </c>
      <c r="H24" s="204">
        <f t="shared" si="5"/>
        <v>-7</v>
      </c>
      <c r="I24" s="205">
        <f t="shared" si="6"/>
        <v>12</v>
      </c>
      <c r="J24" s="204">
        <f t="shared" si="7"/>
        <v>5</v>
      </c>
    </row>
    <row r="25" spans="1:10" ht="15">
      <c r="A25" s="201" t="s">
        <v>150</v>
      </c>
      <c r="B25" s="202">
        <v>0</v>
      </c>
      <c r="C25" s="202">
        <v>0</v>
      </c>
      <c r="D25" s="203">
        <f>+B25+C25</f>
        <v>0</v>
      </c>
      <c r="E25" s="203">
        <v>0</v>
      </c>
      <c r="F25" s="203">
        <v>629</v>
      </c>
      <c r="G25" s="203">
        <f t="shared" si="0"/>
        <v>629</v>
      </c>
      <c r="H25" s="204">
        <f t="shared" si="5"/>
        <v>0</v>
      </c>
      <c r="I25" s="205">
        <f t="shared" si="6"/>
        <v>629</v>
      </c>
      <c r="J25" s="204">
        <f t="shared" si="7"/>
        <v>629</v>
      </c>
    </row>
    <row r="26" spans="1:10" ht="15">
      <c r="A26" s="201" t="s">
        <v>151</v>
      </c>
      <c r="B26" s="202">
        <v>0</v>
      </c>
      <c r="C26" s="202">
        <v>0</v>
      </c>
      <c r="D26" s="203">
        <f>+B26+C26</f>
        <v>0</v>
      </c>
      <c r="E26" s="203">
        <v>0</v>
      </c>
      <c r="F26" s="203">
        <v>0</v>
      </c>
      <c r="G26" s="203">
        <f t="shared" si="0"/>
        <v>0</v>
      </c>
      <c r="H26" s="204">
        <f t="shared" si="5"/>
        <v>0</v>
      </c>
      <c r="I26" s="205">
        <f t="shared" si="6"/>
        <v>0</v>
      </c>
      <c r="J26" s="204">
        <f t="shared" si="7"/>
        <v>0</v>
      </c>
    </row>
    <row r="27" spans="1:10" ht="15">
      <c r="A27" s="201" t="s">
        <v>152</v>
      </c>
      <c r="B27" s="202">
        <v>0</v>
      </c>
      <c r="C27" s="202">
        <v>0</v>
      </c>
      <c r="D27" s="203">
        <f>+B27+C27</f>
        <v>0</v>
      </c>
      <c r="E27" s="203">
        <v>0</v>
      </c>
      <c r="F27" s="203">
        <v>0</v>
      </c>
      <c r="G27" s="203">
        <f t="shared" si="0"/>
        <v>0</v>
      </c>
      <c r="H27" s="204">
        <f t="shared" si="5"/>
        <v>0</v>
      </c>
      <c r="I27" s="205">
        <f t="shared" si="6"/>
        <v>0</v>
      </c>
      <c r="J27" s="204">
        <f t="shared" si="7"/>
        <v>0</v>
      </c>
    </row>
    <row r="28" spans="1:10" ht="15">
      <c r="A28" s="111" t="s">
        <v>194</v>
      </c>
      <c r="B28" s="202">
        <v>0</v>
      </c>
      <c r="C28" s="202">
        <v>0</v>
      </c>
      <c r="D28" s="203">
        <f aca="true" t="shared" si="8" ref="D28:D33">+B28+C28</f>
        <v>0</v>
      </c>
      <c r="E28" s="203">
        <v>0</v>
      </c>
      <c r="F28" s="203">
        <v>0</v>
      </c>
      <c r="G28" s="203">
        <f aca="true" t="shared" si="9" ref="G28:G33">SUM(E28:F28)</f>
        <v>0</v>
      </c>
      <c r="H28" s="204">
        <f t="shared" si="5"/>
        <v>0</v>
      </c>
      <c r="I28" s="205">
        <f t="shared" si="6"/>
        <v>0</v>
      </c>
      <c r="J28" s="204">
        <f t="shared" si="7"/>
        <v>0</v>
      </c>
    </row>
    <row r="29" spans="1:10" ht="15">
      <c r="A29" s="111" t="s">
        <v>195</v>
      </c>
      <c r="B29" s="202">
        <v>0</v>
      </c>
      <c r="C29" s="202">
        <v>0</v>
      </c>
      <c r="D29" s="203">
        <f t="shared" si="8"/>
        <v>0</v>
      </c>
      <c r="E29" s="203">
        <v>0</v>
      </c>
      <c r="F29" s="203">
        <v>0</v>
      </c>
      <c r="G29" s="203">
        <f t="shared" si="9"/>
        <v>0</v>
      </c>
      <c r="H29" s="204">
        <f t="shared" si="5"/>
        <v>0</v>
      </c>
      <c r="I29" s="205">
        <f t="shared" si="6"/>
        <v>0</v>
      </c>
      <c r="J29" s="204">
        <f t="shared" si="7"/>
        <v>0</v>
      </c>
    </row>
    <row r="30" spans="1:10" ht="15">
      <c r="A30" s="111" t="s">
        <v>28</v>
      </c>
      <c r="B30" s="202">
        <v>0</v>
      </c>
      <c r="C30" s="202">
        <v>0</v>
      </c>
      <c r="D30" s="203">
        <f t="shared" si="8"/>
        <v>0</v>
      </c>
      <c r="E30" s="203">
        <v>0</v>
      </c>
      <c r="F30" s="203">
        <v>0</v>
      </c>
      <c r="G30" s="203">
        <f t="shared" si="9"/>
        <v>0</v>
      </c>
      <c r="H30" s="204">
        <f t="shared" si="5"/>
        <v>0</v>
      </c>
      <c r="I30" s="205">
        <f t="shared" si="6"/>
        <v>0</v>
      </c>
      <c r="J30" s="204">
        <f t="shared" si="7"/>
        <v>0</v>
      </c>
    </row>
    <row r="31" spans="1:10" ht="15">
      <c r="A31" s="111" t="s">
        <v>29</v>
      </c>
      <c r="B31" s="202">
        <v>0</v>
      </c>
      <c r="C31" s="202">
        <v>0</v>
      </c>
      <c r="D31" s="203">
        <f t="shared" si="8"/>
        <v>0</v>
      </c>
      <c r="E31" s="203">
        <v>0</v>
      </c>
      <c r="F31" s="203">
        <v>0</v>
      </c>
      <c r="G31" s="203">
        <f t="shared" si="9"/>
        <v>0</v>
      </c>
      <c r="H31" s="204">
        <f t="shared" si="5"/>
        <v>0</v>
      </c>
      <c r="I31" s="205">
        <f t="shared" si="6"/>
        <v>0</v>
      </c>
      <c r="J31" s="204">
        <f t="shared" si="7"/>
        <v>0</v>
      </c>
    </row>
    <row r="32" spans="1:10" ht="15">
      <c r="A32" s="111" t="s">
        <v>30</v>
      </c>
      <c r="B32" s="202">
        <v>0</v>
      </c>
      <c r="C32" s="202">
        <v>0</v>
      </c>
      <c r="D32" s="203">
        <f t="shared" si="8"/>
        <v>0</v>
      </c>
      <c r="E32" s="203">
        <v>0</v>
      </c>
      <c r="F32" s="203">
        <v>0</v>
      </c>
      <c r="G32" s="203">
        <f t="shared" si="9"/>
        <v>0</v>
      </c>
      <c r="H32" s="204">
        <f t="shared" si="5"/>
        <v>0</v>
      </c>
      <c r="I32" s="205">
        <f t="shared" si="6"/>
        <v>0</v>
      </c>
      <c r="J32" s="204">
        <f t="shared" si="7"/>
        <v>0</v>
      </c>
    </row>
    <row r="33" spans="1:10" ht="15">
      <c r="A33" s="111" t="s">
        <v>31</v>
      </c>
      <c r="B33" s="202">
        <v>0</v>
      </c>
      <c r="C33" s="202">
        <v>0</v>
      </c>
      <c r="D33" s="203">
        <f t="shared" si="8"/>
        <v>0</v>
      </c>
      <c r="E33" s="203">
        <v>0</v>
      </c>
      <c r="F33" s="203">
        <v>0</v>
      </c>
      <c r="G33" s="203">
        <f t="shared" si="9"/>
        <v>0</v>
      </c>
      <c r="H33" s="204">
        <f t="shared" si="5"/>
        <v>0</v>
      </c>
      <c r="I33" s="205">
        <f t="shared" si="6"/>
        <v>0</v>
      </c>
      <c r="J33" s="204">
        <f t="shared" si="7"/>
        <v>0</v>
      </c>
    </row>
    <row r="34" spans="1:10" ht="16.5" customHeight="1">
      <c r="A34" s="206" t="s">
        <v>189</v>
      </c>
      <c r="B34" s="208">
        <f aca="true" t="shared" si="10" ref="B34:G34">SUM(B24:B33)</f>
        <v>49</v>
      </c>
      <c r="C34" s="208">
        <f t="shared" si="10"/>
        <v>11</v>
      </c>
      <c r="D34" s="208">
        <f t="shared" si="10"/>
        <v>60</v>
      </c>
      <c r="E34" s="208">
        <f t="shared" si="10"/>
        <v>42</v>
      </c>
      <c r="F34" s="208">
        <f t="shared" si="10"/>
        <v>652</v>
      </c>
      <c r="G34" s="208">
        <f t="shared" si="10"/>
        <v>694</v>
      </c>
      <c r="H34" s="208">
        <f t="shared" si="5"/>
        <v>-7</v>
      </c>
      <c r="I34" s="208">
        <f t="shared" si="6"/>
        <v>641</v>
      </c>
      <c r="J34" s="208">
        <f t="shared" si="7"/>
        <v>634</v>
      </c>
    </row>
    <row r="35" spans="1:11" ht="14.25">
      <c r="A35" s="209" t="s">
        <v>153</v>
      </c>
      <c r="B35" s="210">
        <f aca="true" t="shared" si="11" ref="B35:G35">+B23+B34</f>
        <v>5312</v>
      </c>
      <c r="C35" s="210">
        <f t="shared" si="11"/>
        <v>4488</v>
      </c>
      <c r="D35" s="210">
        <f t="shared" si="11"/>
        <v>9800</v>
      </c>
      <c r="E35" s="210">
        <f t="shared" si="11"/>
        <v>5142</v>
      </c>
      <c r="F35" s="210">
        <f t="shared" si="11"/>
        <v>7808</v>
      </c>
      <c r="G35" s="210">
        <f t="shared" si="11"/>
        <v>12950</v>
      </c>
      <c r="H35" s="210">
        <f t="shared" si="5"/>
        <v>-170</v>
      </c>
      <c r="I35" s="210">
        <f t="shared" si="6"/>
        <v>3320</v>
      </c>
      <c r="J35" s="210">
        <f>+J34+J23</f>
        <v>3150</v>
      </c>
      <c r="K35" s="18"/>
    </row>
    <row r="36" spans="1:14" ht="15.75" customHeight="1">
      <c r="A36" s="197" t="s">
        <v>186</v>
      </c>
      <c r="B36" s="197"/>
      <c r="C36" s="197"/>
      <c r="D36" s="197"/>
      <c r="E36" s="199"/>
      <c r="F36" s="199"/>
      <c r="G36" s="199"/>
      <c r="H36" s="197"/>
      <c r="I36" s="199"/>
      <c r="J36" s="200" t="s">
        <v>217</v>
      </c>
      <c r="K36" s="3"/>
      <c r="L36" s="3"/>
      <c r="M36" s="3"/>
      <c r="N36" s="3"/>
    </row>
    <row r="37" ht="12.75">
      <c r="A37" s="1"/>
    </row>
    <row r="40" spans="5:10" ht="12.75">
      <c r="E40" s="18"/>
      <c r="F40" s="18"/>
      <c r="G40" s="18"/>
      <c r="H40" s="18"/>
      <c r="I40" s="18"/>
      <c r="J40" s="18"/>
    </row>
    <row r="41" spans="2:11" ht="12.75">
      <c r="B41" s="18"/>
      <c r="C41" s="18"/>
      <c r="E41" s="18"/>
      <c r="F41" s="18"/>
      <c r="G41" s="18"/>
      <c r="H41" s="18"/>
      <c r="I41" s="18"/>
      <c r="J41" s="18"/>
      <c r="K41" s="18"/>
    </row>
    <row r="42" spans="5:10" ht="12.75">
      <c r="E42" s="18"/>
      <c r="F42" s="18"/>
      <c r="G42" s="18"/>
      <c r="H42" s="18"/>
      <c r="I42" s="18"/>
      <c r="J42" s="18"/>
    </row>
    <row r="43" spans="5:10" ht="12.75">
      <c r="E43" s="18"/>
      <c r="F43" s="18"/>
      <c r="G43" s="18"/>
      <c r="H43" s="18"/>
      <c r="I43" s="18"/>
      <c r="J43" s="18"/>
    </row>
    <row r="44" spans="5:10" ht="12.75">
      <c r="E44" s="18"/>
      <c r="F44" s="18"/>
      <c r="G44" s="18"/>
      <c r="H44" s="18"/>
      <c r="I44" s="18"/>
      <c r="J44" s="18"/>
    </row>
    <row r="45" spans="5:10" ht="12.75">
      <c r="E45" s="18"/>
      <c r="F45" s="18"/>
      <c r="G45" s="18"/>
      <c r="H45" s="18"/>
      <c r="I45" s="18"/>
      <c r="J45" s="18"/>
    </row>
    <row r="46" spans="5:10" ht="12.75">
      <c r="E46" s="18"/>
      <c r="F46" s="18"/>
      <c r="G46" s="18"/>
      <c r="H46" s="18"/>
      <c r="I46" s="18"/>
      <c r="J46" s="18"/>
    </row>
    <row r="47" spans="5:10" ht="12.75">
      <c r="E47" s="18"/>
      <c r="F47" s="18"/>
      <c r="G47" s="18"/>
      <c r="H47" s="18"/>
      <c r="I47" s="18"/>
      <c r="J47" s="18"/>
    </row>
    <row r="48" spans="5:10" ht="12.75">
      <c r="E48" s="18"/>
      <c r="F48" s="18"/>
      <c r="G48" s="18"/>
      <c r="H48" s="18"/>
      <c r="I48" s="18"/>
      <c r="J48" s="18"/>
    </row>
    <row r="49" spans="5:10" ht="12.75">
      <c r="E49" s="18"/>
      <c r="F49" s="18"/>
      <c r="G49" s="18"/>
      <c r="H49" s="18"/>
      <c r="I49" s="18"/>
      <c r="J49" s="18"/>
    </row>
    <row r="50" spans="5:10" ht="12.75">
      <c r="E50" s="18"/>
      <c r="F50" s="18"/>
      <c r="G50" s="18"/>
      <c r="H50" s="18"/>
      <c r="I50" s="18"/>
      <c r="J50" s="18"/>
    </row>
    <row r="51" spans="5:10" ht="12.75">
      <c r="E51" s="18"/>
      <c r="F51" s="18"/>
      <c r="G51" s="18"/>
      <c r="H51" s="18"/>
      <c r="I51" s="18"/>
      <c r="J51" s="18"/>
    </row>
    <row r="52" spans="5:10" ht="12.75">
      <c r="E52" s="18"/>
      <c r="F52" s="18"/>
      <c r="G52" s="18"/>
      <c r="H52" s="18"/>
      <c r="I52" s="18"/>
      <c r="J52" s="18"/>
    </row>
    <row r="53" spans="8:10" ht="12.75">
      <c r="H53" s="18"/>
      <c r="I53" s="18"/>
      <c r="J53" s="18"/>
    </row>
    <row r="54" spans="8:10" ht="12.75">
      <c r="H54" s="18"/>
      <c r="I54" s="18"/>
      <c r="J54" s="18"/>
    </row>
    <row r="55" spans="8:10" ht="12.75">
      <c r="H55" s="18"/>
      <c r="I55" s="18"/>
      <c r="J55" s="18"/>
    </row>
  </sheetData>
  <mergeCells count="1">
    <mergeCell ref="A1:J1"/>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codeName="Hárok8">
    <tabColor indexed="42"/>
    <pageSetUpPr fitToPage="1"/>
  </sheetPr>
  <dimension ref="A1:N45"/>
  <sheetViews>
    <sheetView zoomScaleSheetLayoutView="100" workbookViewId="0" topLeftCell="A1">
      <pane xSplit="1" ySplit="2" topLeftCell="D20" activePane="bottomRight" state="frozen"/>
      <selection pane="topLeft" activeCell="A2" sqref="A2"/>
      <selection pane="topRight" activeCell="A2" sqref="A2"/>
      <selection pane="bottomLeft" activeCell="A2" sqref="A2"/>
      <selection pane="bottomRight" activeCell="N45" sqref="N45"/>
    </sheetView>
  </sheetViews>
  <sheetFormatPr defaultColWidth="9.140625" defaultRowHeight="12.75"/>
  <cols>
    <col min="1" max="1" width="25.7109375" style="0" customWidth="1"/>
    <col min="2" max="10" width="15.7109375" style="0" customWidth="1"/>
  </cols>
  <sheetData>
    <row r="1" spans="1:10" ht="75" customHeight="1">
      <c r="A1" s="573" t="s">
        <v>2</v>
      </c>
      <c r="B1" s="573"/>
      <c r="C1" s="573"/>
      <c r="D1" s="573"/>
      <c r="E1" s="573"/>
      <c r="F1" s="573"/>
      <c r="G1" s="573"/>
      <c r="H1" s="573"/>
      <c r="I1" s="573"/>
      <c r="J1" s="573"/>
    </row>
    <row r="2" spans="1:10" ht="97.5" customHeight="1">
      <c r="A2" s="128" t="s">
        <v>154</v>
      </c>
      <c r="B2" s="128" t="s">
        <v>214</v>
      </c>
      <c r="C2" s="128" t="s">
        <v>215</v>
      </c>
      <c r="D2" s="128" t="s">
        <v>216</v>
      </c>
      <c r="E2" s="128" t="s">
        <v>239</v>
      </c>
      <c r="F2" s="128" t="s">
        <v>240</v>
      </c>
      <c r="G2" s="128" t="s">
        <v>241</v>
      </c>
      <c r="H2" s="36" t="s">
        <v>294</v>
      </c>
      <c r="I2" s="37" t="s">
        <v>295</v>
      </c>
      <c r="J2" s="36" t="s">
        <v>296</v>
      </c>
    </row>
    <row r="3" spans="1:10" ht="15">
      <c r="A3" s="201" t="s">
        <v>60</v>
      </c>
      <c r="B3" s="202">
        <v>2617</v>
      </c>
      <c r="C3" s="202">
        <v>684</v>
      </c>
      <c r="D3" s="211">
        <f aca="true" t="shared" si="0" ref="D3:D22">+B3+C3</f>
        <v>3301</v>
      </c>
      <c r="E3" s="211">
        <v>2778</v>
      </c>
      <c r="F3" s="211">
        <v>820</v>
      </c>
      <c r="G3" s="211">
        <f aca="true" t="shared" si="1" ref="G3:G23">SUM(E3:F3)</f>
        <v>3598</v>
      </c>
      <c r="H3" s="204">
        <f>E3-B3</f>
        <v>161</v>
      </c>
      <c r="I3" s="205">
        <f>F3-C3</f>
        <v>136</v>
      </c>
      <c r="J3" s="204">
        <f>G3-D3</f>
        <v>297</v>
      </c>
    </row>
    <row r="4" spans="1:10" ht="15">
      <c r="A4" s="201" t="s">
        <v>78</v>
      </c>
      <c r="B4" s="202">
        <v>673</v>
      </c>
      <c r="C4" s="202">
        <v>7</v>
      </c>
      <c r="D4" s="211">
        <f t="shared" si="0"/>
        <v>680</v>
      </c>
      <c r="E4" s="211">
        <v>675</v>
      </c>
      <c r="F4" s="211">
        <v>30</v>
      </c>
      <c r="G4" s="211">
        <f t="shared" si="1"/>
        <v>705</v>
      </c>
      <c r="H4" s="204">
        <f aca="true" t="shared" si="2" ref="H4:H35">E4-B4</f>
        <v>2</v>
      </c>
      <c r="I4" s="205">
        <f aca="true" t="shared" si="3" ref="I4:I35">F4-C4</f>
        <v>23</v>
      </c>
      <c r="J4" s="204">
        <f aca="true" t="shared" si="4" ref="J4:J35">G4-D4</f>
        <v>25</v>
      </c>
    </row>
    <row r="5" spans="1:10" ht="15">
      <c r="A5" s="201" t="s">
        <v>80</v>
      </c>
      <c r="B5" s="202">
        <v>862</v>
      </c>
      <c r="C5" s="202">
        <v>503</v>
      </c>
      <c r="D5" s="211">
        <f t="shared" si="0"/>
        <v>1365</v>
      </c>
      <c r="E5" s="211">
        <v>1025</v>
      </c>
      <c r="F5" s="211">
        <v>622</v>
      </c>
      <c r="G5" s="211">
        <f t="shared" si="1"/>
        <v>1647</v>
      </c>
      <c r="H5" s="204">
        <f t="shared" si="2"/>
        <v>163</v>
      </c>
      <c r="I5" s="205">
        <f t="shared" si="3"/>
        <v>119</v>
      </c>
      <c r="J5" s="204">
        <f t="shared" si="4"/>
        <v>282</v>
      </c>
    </row>
    <row r="6" spans="1:10" ht="15">
      <c r="A6" s="201" t="s">
        <v>87</v>
      </c>
      <c r="B6" s="202">
        <v>211</v>
      </c>
      <c r="C6" s="202">
        <v>124</v>
      </c>
      <c r="D6" s="211">
        <f t="shared" si="0"/>
        <v>335</v>
      </c>
      <c r="E6" s="211">
        <v>363</v>
      </c>
      <c r="F6" s="211">
        <v>127</v>
      </c>
      <c r="G6" s="211">
        <f t="shared" si="1"/>
        <v>490</v>
      </c>
      <c r="H6" s="204">
        <f t="shared" si="2"/>
        <v>152</v>
      </c>
      <c r="I6" s="205">
        <f t="shared" si="3"/>
        <v>3</v>
      </c>
      <c r="J6" s="204">
        <f t="shared" si="4"/>
        <v>155</v>
      </c>
    </row>
    <row r="7" spans="1:10" ht="15">
      <c r="A7" s="201" t="s">
        <v>90</v>
      </c>
      <c r="B7" s="202">
        <v>111</v>
      </c>
      <c r="C7" s="202">
        <v>0</v>
      </c>
      <c r="D7" s="211">
        <f t="shared" si="0"/>
        <v>111</v>
      </c>
      <c r="E7" s="211">
        <v>88</v>
      </c>
      <c r="F7" s="211">
        <v>0</v>
      </c>
      <c r="G7" s="211">
        <f t="shared" si="1"/>
        <v>88</v>
      </c>
      <c r="H7" s="204">
        <f t="shared" si="2"/>
        <v>-23</v>
      </c>
      <c r="I7" s="205">
        <f t="shared" si="3"/>
        <v>0</v>
      </c>
      <c r="J7" s="204">
        <f t="shared" si="4"/>
        <v>-23</v>
      </c>
    </row>
    <row r="8" spans="1:12" ht="15">
      <c r="A8" s="201" t="s">
        <v>91</v>
      </c>
      <c r="B8" s="202">
        <v>917</v>
      </c>
      <c r="C8" s="202">
        <v>669</v>
      </c>
      <c r="D8" s="211">
        <f t="shared" si="0"/>
        <v>1586</v>
      </c>
      <c r="E8" s="211">
        <v>922</v>
      </c>
      <c r="F8" s="211">
        <v>856</v>
      </c>
      <c r="G8" s="211">
        <f t="shared" si="1"/>
        <v>1778</v>
      </c>
      <c r="H8" s="204">
        <f t="shared" si="2"/>
        <v>5</v>
      </c>
      <c r="I8" s="205">
        <f t="shared" si="3"/>
        <v>187</v>
      </c>
      <c r="J8" s="204">
        <f t="shared" si="4"/>
        <v>192</v>
      </c>
      <c r="L8" s="18"/>
    </row>
    <row r="9" spans="1:10" ht="15">
      <c r="A9" s="201" t="s">
        <v>94</v>
      </c>
      <c r="B9" s="202">
        <v>1184</v>
      </c>
      <c r="C9" s="202">
        <v>1114</v>
      </c>
      <c r="D9" s="211">
        <f t="shared" si="0"/>
        <v>2298</v>
      </c>
      <c r="E9" s="211">
        <v>1095</v>
      </c>
      <c r="F9" s="211">
        <v>1134</v>
      </c>
      <c r="G9" s="211">
        <f t="shared" si="1"/>
        <v>2229</v>
      </c>
      <c r="H9" s="204">
        <f t="shared" si="2"/>
        <v>-89</v>
      </c>
      <c r="I9" s="205">
        <f t="shared" si="3"/>
        <v>20</v>
      </c>
      <c r="J9" s="204">
        <f t="shared" si="4"/>
        <v>-69</v>
      </c>
    </row>
    <row r="10" spans="1:11" ht="15.75">
      <c r="A10" s="201" t="s">
        <v>98</v>
      </c>
      <c r="B10" s="202">
        <v>504</v>
      </c>
      <c r="C10" s="202">
        <v>285</v>
      </c>
      <c r="D10" s="211">
        <f t="shared" si="0"/>
        <v>789</v>
      </c>
      <c r="E10" s="211">
        <v>441</v>
      </c>
      <c r="F10" s="211">
        <v>349</v>
      </c>
      <c r="G10" s="211">
        <f t="shared" si="1"/>
        <v>790</v>
      </c>
      <c r="H10" s="204">
        <f t="shared" si="2"/>
        <v>-63</v>
      </c>
      <c r="I10" s="205">
        <f t="shared" si="3"/>
        <v>64</v>
      </c>
      <c r="J10" s="204">
        <f t="shared" si="4"/>
        <v>1</v>
      </c>
      <c r="K10" s="80"/>
    </row>
    <row r="11" spans="1:10" ht="15">
      <c r="A11" s="201" t="s">
        <v>101</v>
      </c>
      <c r="B11" s="202">
        <v>1783</v>
      </c>
      <c r="C11" s="202">
        <v>126</v>
      </c>
      <c r="D11" s="211">
        <f t="shared" si="0"/>
        <v>1909</v>
      </c>
      <c r="E11" s="211">
        <v>1748</v>
      </c>
      <c r="F11" s="211">
        <v>181</v>
      </c>
      <c r="G11" s="211">
        <f t="shared" si="1"/>
        <v>1929</v>
      </c>
      <c r="H11" s="204">
        <f t="shared" si="2"/>
        <v>-35</v>
      </c>
      <c r="I11" s="205">
        <f t="shared" si="3"/>
        <v>55</v>
      </c>
      <c r="J11" s="204">
        <f t="shared" si="4"/>
        <v>20</v>
      </c>
    </row>
    <row r="12" spans="1:14" ht="15">
      <c r="A12" s="201" t="s">
        <v>106</v>
      </c>
      <c r="B12" s="202">
        <v>1406</v>
      </c>
      <c r="C12" s="202">
        <v>317</v>
      </c>
      <c r="D12" s="211">
        <f t="shared" si="0"/>
        <v>1723</v>
      </c>
      <c r="E12" s="211">
        <v>1294</v>
      </c>
      <c r="F12" s="211">
        <v>260</v>
      </c>
      <c r="G12" s="211">
        <f t="shared" si="1"/>
        <v>1554</v>
      </c>
      <c r="H12" s="204">
        <f t="shared" si="2"/>
        <v>-112</v>
      </c>
      <c r="I12" s="205">
        <f t="shared" si="3"/>
        <v>-57</v>
      </c>
      <c r="J12" s="204">
        <f t="shared" si="4"/>
        <v>-169</v>
      </c>
      <c r="M12" s="18"/>
      <c r="N12" s="18"/>
    </row>
    <row r="13" spans="1:10" ht="15">
      <c r="A13" s="201" t="s">
        <v>111</v>
      </c>
      <c r="B13" s="202">
        <v>1146</v>
      </c>
      <c r="C13" s="202">
        <v>122</v>
      </c>
      <c r="D13" s="211">
        <f t="shared" si="0"/>
        <v>1268</v>
      </c>
      <c r="E13" s="211">
        <v>1226</v>
      </c>
      <c r="F13" s="211">
        <v>150</v>
      </c>
      <c r="G13" s="211">
        <f t="shared" si="1"/>
        <v>1376</v>
      </c>
      <c r="H13" s="204">
        <f t="shared" si="2"/>
        <v>80</v>
      </c>
      <c r="I13" s="205">
        <f t="shared" si="3"/>
        <v>28</v>
      </c>
      <c r="J13" s="204">
        <f t="shared" si="4"/>
        <v>108</v>
      </c>
    </row>
    <row r="14" spans="1:10" ht="15">
      <c r="A14" s="201" t="s">
        <v>115</v>
      </c>
      <c r="B14" s="202">
        <v>398</v>
      </c>
      <c r="C14" s="202">
        <v>120</v>
      </c>
      <c r="D14" s="211">
        <f t="shared" si="0"/>
        <v>518</v>
      </c>
      <c r="E14" s="211">
        <v>294</v>
      </c>
      <c r="F14" s="211">
        <v>390</v>
      </c>
      <c r="G14" s="211">
        <f t="shared" si="1"/>
        <v>684</v>
      </c>
      <c r="H14" s="204">
        <f t="shared" si="2"/>
        <v>-104</v>
      </c>
      <c r="I14" s="205">
        <f t="shared" si="3"/>
        <v>270</v>
      </c>
      <c r="J14" s="204">
        <f t="shared" si="4"/>
        <v>166</v>
      </c>
    </row>
    <row r="15" spans="1:10" ht="15">
      <c r="A15" s="201" t="s">
        <v>120</v>
      </c>
      <c r="B15" s="202">
        <v>1592</v>
      </c>
      <c r="C15" s="202">
        <v>717</v>
      </c>
      <c r="D15" s="211">
        <f t="shared" si="0"/>
        <v>2309</v>
      </c>
      <c r="E15" s="211">
        <v>1486</v>
      </c>
      <c r="F15" s="211">
        <v>749</v>
      </c>
      <c r="G15" s="211">
        <f t="shared" si="1"/>
        <v>2235</v>
      </c>
      <c r="H15" s="204">
        <f t="shared" si="2"/>
        <v>-106</v>
      </c>
      <c r="I15" s="205">
        <f t="shared" si="3"/>
        <v>32</v>
      </c>
      <c r="J15" s="204">
        <f t="shared" si="4"/>
        <v>-74</v>
      </c>
    </row>
    <row r="16" spans="1:10" ht="15">
      <c r="A16" s="201" t="s">
        <v>127</v>
      </c>
      <c r="B16" s="202">
        <v>1144</v>
      </c>
      <c r="C16" s="202">
        <v>499</v>
      </c>
      <c r="D16" s="211">
        <f t="shared" si="0"/>
        <v>1643</v>
      </c>
      <c r="E16" s="211">
        <v>1176</v>
      </c>
      <c r="F16" s="211">
        <v>588</v>
      </c>
      <c r="G16" s="211">
        <f t="shared" si="1"/>
        <v>1764</v>
      </c>
      <c r="H16" s="204">
        <f t="shared" si="2"/>
        <v>32</v>
      </c>
      <c r="I16" s="205">
        <f t="shared" si="3"/>
        <v>89</v>
      </c>
      <c r="J16" s="204">
        <f t="shared" si="4"/>
        <v>121</v>
      </c>
    </row>
    <row r="17" spans="1:10" ht="15">
      <c r="A17" s="201" t="s">
        <v>133</v>
      </c>
      <c r="B17" s="202">
        <v>501</v>
      </c>
      <c r="C17" s="202">
        <v>98</v>
      </c>
      <c r="D17" s="211">
        <f t="shared" si="0"/>
        <v>599</v>
      </c>
      <c r="E17" s="211">
        <v>465</v>
      </c>
      <c r="F17" s="211">
        <v>119</v>
      </c>
      <c r="G17" s="211">
        <f t="shared" si="1"/>
        <v>584</v>
      </c>
      <c r="H17" s="204">
        <f t="shared" si="2"/>
        <v>-36</v>
      </c>
      <c r="I17" s="205">
        <f t="shared" si="3"/>
        <v>21</v>
      </c>
      <c r="J17" s="204">
        <f t="shared" si="4"/>
        <v>-15</v>
      </c>
    </row>
    <row r="18" spans="1:10" ht="15">
      <c r="A18" s="201" t="s">
        <v>137</v>
      </c>
      <c r="B18" s="202">
        <v>154</v>
      </c>
      <c r="C18" s="202">
        <v>0</v>
      </c>
      <c r="D18" s="203">
        <f t="shared" si="0"/>
        <v>154</v>
      </c>
      <c r="E18" s="203">
        <v>130</v>
      </c>
      <c r="F18" s="203">
        <v>0</v>
      </c>
      <c r="G18" s="203">
        <f t="shared" si="1"/>
        <v>130</v>
      </c>
      <c r="H18" s="204">
        <f t="shared" si="2"/>
        <v>-24</v>
      </c>
      <c r="I18" s="205">
        <f t="shared" si="3"/>
        <v>0</v>
      </c>
      <c r="J18" s="204">
        <f t="shared" si="4"/>
        <v>-24</v>
      </c>
    </row>
    <row r="19" spans="1:10" ht="15">
      <c r="A19" s="201" t="s">
        <v>141</v>
      </c>
      <c r="B19" s="202">
        <v>83</v>
      </c>
      <c r="C19" s="202">
        <v>0</v>
      </c>
      <c r="D19" s="203">
        <f t="shared" si="0"/>
        <v>83</v>
      </c>
      <c r="E19" s="203">
        <v>77</v>
      </c>
      <c r="F19" s="203">
        <v>0</v>
      </c>
      <c r="G19" s="203">
        <f t="shared" si="1"/>
        <v>77</v>
      </c>
      <c r="H19" s="204">
        <f t="shared" si="2"/>
        <v>-6</v>
      </c>
      <c r="I19" s="205">
        <f t="shared" si="3"/>
        <v>0</v>
      </c>
      <c r="J19" s="204">
        <f t="shared" si="4"/>
        <v>-6</v>
      </c>
    </row>
    <row r="20" spans="1:10" ht="15">
      <c r="A20" s="201" t="s">
        <v>142</v>
      </c>
      <c r="B20" s="202">
        <v>47</v>
      </c>
      <c r="C20" s="202">
        <v>0</v>
      </c>
      <c r="D20" s="203">
        <f t="shared" si="0"/>
        <v>47</v>
      </c>
      <c r="E20" s="203">
        <v>53</v>
      </c>
      <c r="F20" s="203">
        <v>0</v>
      </c>
      <c r="G20" s="203">
        <f t="shared" si="1"/>
        <v>53</v>
      </c>
      <c r="H20" s="204">
        <f t="shared" si="2"/>
        <v>6</v>
      </c>
      <c r="I20" s="205">
        <f t="shared" si="3"/>
        <v>0</v>
      </c>
      <c r="J20" s="204">
        <f t="shared" si="4"/>
        <v>6</v>
      </c>
    </row>
    <row r="21" spans="1:10" ht="15">
      <c r="A21" s="201" t="s">
        <v>146</v>
      </c>
      <c r="B21" s="202">
        <v>157</v>
      </c>
      <c r="C21" s="202">
        <v>53</v>
      </c>
      <c r="D21" s="203">
        <f t="shared" si="0"/>
        <v>210</v>
      </c>
      <c r="E21" s="203">
        <v>183</v>
      </c>
      <c r="F21" s="203">
        <v>66</v>
      </c>
      <c r="G21" s="203">
        <f t="shared" si="1"/>
        <v>249</v>
      </c>
      <c r="H21" s="204">
        <f t="shared" si="2"/>
        <v>26</v>
      </c>
      <c r="I21" s="205">
        <f t="shared" si="3"/>
        <v>13</v>
      </c>
      <c r="J21" s="204">
        <f t="shared" si="4"/>
        <v>39</v>
      </c>
    </row>
    <row r="22" spans="1:10" ht="15">
      <c r="A22" s="201" t="s">
        <v>147</v>
      </c>
      <c r="B22" s="202">
        <v>9</v>
      </c>
      <c r="C22" s="202">
        <v>7</v>
      </c>
      <c r="D22" s="203">
        <f t="shared" si="0"/>
        <v>16</v>
      </c>
      <c r="E22" s="203">
        <v>9</v>
      </c>
      <c r="F22" s="203">
        <v>3</v>
      </c>
      <c r="G22" s="203">
        <f t="shared" si="1"/>
        <v>12</v>
      </c>
      <c r="H22" s="204">
        <f t="shared" si="2"/>
        <v>0</v>
      </c>
      <c r="I22" s="205">
        <f t="shared" si="3"/>
        <v>-4</v>
      </c>
      <c r="J22" s="204">
        <f t="shared" si="4"/>
        <v>-4</v>
      </c>
    </row>
    <row r="23" spans="1:10" ht="15">
      <c r="A23" s="206" t="s">
        <v>188</v>
      </c>
      <c r="B23" s="207">
        <f>SUM(B3:B22)</f>
        <v>15499</v>
      </c>
      <c r="C23" s="207">
        <f>SUM(C3:C22)</f>
        <v>5445</v>
      </c>
      <c r="D23" s="207">
        <f>SUM(D3:D22)</f>
        <v>20944</v>
      </c>
      <c r="E23" s="207">
        <f>SUM(E3:E22)</f>
        <v>15528</v>
      </c>
      <c r="F23" s="207">
        <f>SUM(F3:F22)</f>
        <v>6444</v>
      </c>
      <c r="G23" s="207">
        <f t="shared" si="1"/>
        <v>21972</v>
      </c>
      <c r="H23" s="207">
        <f t="shared" si="2"/>
        <v>29</v>
      </c>
      <c r="I23" s="207">
        <f t="shared" si="3"/>
        <v>999</v>
      </c>
      <c r="J23" s="207">
        <f t="shared" si="4"/>
        <v>1028</v>
      </c>
    </row>
    <row r="24" spans="1:10" ht="15">
      <c r="A24" s="201" t="s">
        <v>149</v>
      </c>
      <c r="B24" s="202">
        <v>0</v>
      </c>
      <c r="C24" s="202">
        <v>0</v>
      </c>
      <c r="D24" s="203">
        <f>+B24+C24</f>
        <v>0</v>
      </c>
      <c r="E24" s="203">
        <v>0</v>
      </c>
      <c r="F24" s="203">
        <v>4</v>
      </c>
      <c r="G24" s="203">
        <f>+E24+F24</f>
        <v>4</v>
      </c>
      <c r="H24" s="204">
        <f t="shared" si="2"/>
        <v>0</v>
      </c>
      <c r="I24" s="205">
        <f t="shared" si="3"/>
        <v>4</v>
      </c>
      <c r="J24" s="204">
        <f t="shared" si="4"/>
        <v>4</v>
      </c>
    </row>
    <row r="25" spans="1:10" ht="15">
      <c r="A25" s="201" t="s">
        <v>150</v>
      </c>
      <c r="B25" s="202">
        <v>0</v>
      </c>
      <c r="C25" s="202">
        <v>0</v>
      </c>
      <c r="D25" s="203">
        <f>+B25+C25</f>
        <v>0</v>
      </c>
      <c r="E25" s="203">
        <v>0</v>
      </c>
      <c r="F25" s="203">
        <v>0</v>
      </c>
      <c r="G25" s="203">
        <f aca="true" t="shared" si="5" ref="G25:G33">+E25+F25</f>
        <v>0</v>
      </c>
      <c r="H25" s="204">
        <f t="shared" si="2"/>
        <v>0</v>
      </c>
      <c r="I25" s="205">
        <f t="shared" si="3"/>
        <v>0</v>
      </c>
      <c r="J25" s="204">
        <f t="shared" si="4"/>
        <v>0</v>
      </c>
    </row>
    <row r="26" spans="1:10" ht="15">
      <c r="A26" s="201" t="s">
        <v>151</v>
      </c>
      <c r="B26" s="202">
        <v>0</v>
      </c>
      <c r="C26" s="202">
        <v>0</v>
      </c>
      <c r="D26" s="203">
        <f>+B26+C26</f>
        <v>0</v>
      </c>
      <c r="E26" s="203">
        <v>0</v>
      </c>
      <c r="F26" s="203">
        <v>0</v>
      </c>
      <c r="G26" s="203">
        <f t="shared" si="5"/>
        <v>0</v>
      </c>
      <c r="H26" s="204">
        <f t="shared" si="2"/>
        <v>0</v>
      </c>
      <c r="I26" s="205">
        <f t="shared" si="3"/>
        <v>0</v>
      </c>
      <c r="J26" s="204">
        <f t="shared" si="4"/>
        <v>0</v>
      </c>
    </row>
    <row r="27" spans="1:10" ht="15">
      <c r="A27" s="201" t="s">
        <v>152</v>
      </c>
      <c r="B27" s="202">
        <v>0</v>
      </c>
      <c r="C27" s="202">
        <v>0</v>
      </c>
      <c r="D27" s="203">
        <f>+B27+C27</f>
        <v>0</v>
      </c>
      <c r="E27" s="203">
        <v>0</v>
      </c>
      <c r="F27" s="203">
        <v>0</v>
      </c>
      <c r="G27" s="203">
        <f t="shared" si="5"/>
        <v>0</v>
      </c>
      <c r="H27" s="204">
        <f t="shared" si="2"/>
        <v>0</v>
      </c>
      <c r="I27" s="205">
        <f t="shared" si="3"/>
        <v>0</v>
      </c>
      <c r="J27" s="204">
        <f t="shared" si="4"/>
        <v>0</v>
      </c>
    </row>
    <row r="28" spans="1:10" ht="15">
      <c r="A28" s="111" t="s">
        <v>194</v>
      </c>
      <c r="B28" s="202">
        <v>0</v>
      </c>
      <c r="C28" s="202">
        <v>0</v>
      </c>
      <c r="D28" s="203">
        <f aca="true" t="shared" si="6" ref="D28:D33">+B28+C28</f>
        <v>0</v>
      </c>
      <c r="E28" s="203">
        <v>0</v>
      </c>
      <c r="F28" s="203">
        <v>0</v>
      </c>
      <c r="G28" s="203">
        <f t="shared" si="5"/>
        <v>0</v>
      </c>
      <c r="H28" s="204">
        <f t="shared" si="2"/>
        <v>0</v>
      </c>
      <c r="I28" s="205">
        <f t="shared" si="3"/>
        <v>0</v>
      </c>
      <c r="J28" s="204">
        <f t="shared" si="4"/>
        <v>0</v>
      </c>
    </row>
    <row r="29" spans="1:10" ht="15">
      <c r="A29" s="111" t="s">
        <v>195</v>
      </c>
      <c r="B29" s="202">
        <v>0</v>
      </c>
      <c r="C29" s="202">
        <v>0</v>
      </c>
      <c r="D29" s="203">
        <f t="shared" si="6"/>
        <v>0</v>
      </c>
      <c r="E29" s="203">
        <v>0</v>
      </c>
      <c r="F29" s="203">
        <v>0</v>
      </c>
      <c r="G29" s="203">
        <f t="shared" si="5"/>
        <v>0</v>
      </c>
      <c r="H29" s="204">
        <f t="shared" si="2"/>
        <v>0</v>
      </c>
      <c r="I29" s="205">
        <f t="shared" si="3"/>
        <v>0</v>
      </c>
      <c r="J29" s="204">
        <f t="shared" si="4"/>
        <v>0</v>
      </c>
    </row>
    <row r="30" spans="1:10" ht="15">
      <c r="A30" s="111" t="s">
        <v>28</v>
      </c>
      <c r="B30" s="202">
        <v>0</v>
      </c>
      <c r="C30" s="202">
        <v>0</v>
      </c>
      <c r="D30" s="203">
        <f t="shared" si="6"/>
        <v>0</v>
      </c>
      <c r="E30" s="203">
        <v>0</v>
      </c>
      <c r="F30" s="203">
        <v>0</v>
      </c>
      <c r="G30" s="203">
        <f t="shared" si="5"/>
        <v>0</v>
      </c>
      <c r="H30" s="204">
        <f t="shared" si="2"/>
        <v>0</v>
      </c>
      <c r="I30" s="205">
        <f t="shared" si="3"/>
        <v>0</v>
      </c>
      <c r="J30" s="204">
        <f t="shared" si="4"/>
        <v>0</v>
      </c>
    </row>
    <row r="31" spans="1:10" ht="15">
      <c r="A31" s="111" t="s">
        <v>29</v>
      </c>
      <c r="B31" s="202">
        <v>0</v>
      </c>
      <c r="C31" s="202">
        <v>0</v>
      </c>
      <c r="D31" s="203">
        <f t="shared" si="6"/>
        <v>0</v>
      </c>
      <c r="E31" s="203">
        <v>0</v>
      </c>
      <c r="F31" s="203">
        <v>0</v>
      </c>
      <c r="G31" s="203">
        <f t="shared" si="5"/>
        <v>0</v>
      </c>
      <c r="H31" s="204">
        <f t="shared" si="2"/>
        <v>0</v>
      </c>
      <c r="I31" s="205">
        <f t="shared" si="3"/>
        <v>0</v>
      </c>
      <c r="J31" s="204">
        <f t="shared" si="4"/>
        <v>0</v>
      </c>
    </row>
    <row r="32" spans="1:10" ht="15">
      <c r="A32" s="111" t="s">
        <v>30</v>
      </c>
      <c r="B32" s="202">
        <v>0</v>
      </c>
      <c r="C32" s="202">
        <v>0</v>
      </c>
      <c r="D32" s="203">
        <f t="shared" si="6"/>
        <v>0</v>
      </c>
      <c r="E32" s="203">
        <v>0</v>
      </c>
      <c r="F32" s="203">
        <v>0</v>
      </c>
      <c r="G32" s="203">
        <f t="shared" si="5"/>
        <v>0</v>
      </c>
      <c r="H32" s="204">
        <f t="shared" si="2"/>
        <v>0</v>
      </c>
      <c r="I32" s="205">
        <f t="shared" si="3"/>
        <v>0</v>
      </c>
      <c r="J32" s="204">
        <f t="shared" si="4"/>
        <v>0</v>
      </c>
    </row>
    <row r="33" spans="1:10" ht="15">
      <c r="A33" s="111" t="s">
        <v>31</v>
      </c>
      <c r="B33" s="202">
        <v>0</v>
      </c>
      <c r="C33" s="202">
        <v>0</v>
      </c>
      <c r="D33" s="203">
        <f t="shared" si="6"/>
        <v>0</v>
      </c>
      <c r="E33" s="203">
        <v>0</v>
      </c>
      <c r="F33" s="203">
        <v>0</v>
      </c>
      <c r="G33" s="203">
        <f t="shared" si="5"/>
        <v>0</v>
      </c>
      <c r="H33" s="204">
        <f t="shared" si="2"/>
        <v>0</v>
      </c>
      <c r="I33" s="205">
        <f t="shared" si="3"/>
        <v>0</v>
      </c>
      <c r="J33" s="204">
        <f t="shared" si="4"/>
        <v>0</v>
      </c>
    </row>
    <row r="34" spans="1:10" ht="16.5" customHeight="1">
      <c r="A34" s="206" t="s">
        <v>189</v>
      </c>
      <c r="B34" s="208">
        <f>SUM(B24:B33)</f>
        <v>0</v>
      </c>
      <c r="C34" s="208">
        <f>SUM(C24:C33)</f>
        <v>0</v>
      </c>
      <c r="D34" s="208">
        <f>SUM(D24:D27)</f>
        <v>0</v>
      </c>
      <c r="E34" s="208">
        <f>SUM(E24:E33)</f>
        <v>0</v>
      </c>
      <c r="F34" s="208">
        <f>SUM(F24:F33)</f>
        <v>4</v>
      </c>
      <c r="G34" s="208">
        <f>+E34+F34</f>
        <v>4</v>
      </c>
      <c r="H34" s="207">
        <f t="shared" si="2"/>
        <v>0</v>
      </c>
      <c r="I34" s="207">
        <f t="shared" si="3"/>
        <v>4</v>
      </c>
      <c r="J34" s="207">
        <f t="shared" si="4"/>
        <v>4</v>
      </c>
    </row>
    <row r="35" spans="1:10" ht="14.25">
      <c r="A35" s="209" t="s">
        <v>153</v>
      </c>
      <c r="B35" s="210">
        <f>+B23+B34</f>
        <v>15499</v>
      </c>
      <c r="C35" s="210">
        <f>+C23+C34</f>
        <v>5445</v>
      </c>
      <c r="D35" s="210">
        <f>+D23+D34</f>
        <v>20944</v>
      </c>
      <c r="E35" s="210">
        <f>+E34+E23</f>
        <v>15528</v>
      </c>
      <c r="F35" s="210">
        <f>+F23+F34</f>
        <v>6448</v>
      </c>
      <c r="G35" s="210">
        <f>+E35+F35</f>
        <v>21976</v>
      </c>
      <c r="H35" s="210">
        <f t="shared" si="2"/>
        <v>29</v>
      </c>
      <c r="I35" s="210">
        <f t="shared" si="3"/>
        <v>1003</v>
      </c>
      <c r="J35" s="210">
        <f t="shared" si="4"/>
        <v>1032</v>
      </c>
    </row>
    <row r="36" spans="1:11" ht="15.75" customHeight="1">
      <c r="A36" s="197" t="s">
        <v>42</v>
      </c>
      <c r="B36" s="197"/>
      <c r="C36" s="197"/>
      <c r="D36" s="197"/>
      <c r="E36" s="199"/>
      <c r="F36" s="197"/>
      <c r="G36" s="197"/>
      <c r="H36" s="197"/>
      <c r="I36" s="197"/>
      <c r="J36" s="200" t="s">
        <v>217</v>
      </c>
      <c r="K36" s="3"/>
    </row>
    <row r="37" ht="12.75">
      <c r="A37" s="1"/>
    </row>
    <row r="38" spans="2:11" ht="15.75">
      <c r="B38" s="18"/>
      <c r="D38" s="33"/>
      <c r="E38" s="33"/>
      <c r="F38" s="33"/>
      <c r="G38" s="33"/>
      <c r="H38" s="4"/>
      <c r="I38" s="4"/>
      <c r="J38" s="4"/>
      <c r="K38" s="4"/>
    </row>
    <row r="39" spans="2:11" ht="15.75">
      <c r="B39" s="34"/>
      <c r="C39" s="34"/>
      <c r="D39" s="34"/>
      <c r="E39" s="34"/>
      <c r="F39" s="34"/>
      <c r="G39" s="34"/>
      <c r="H39" s="4"/>
      <c r="I39" s="4"/>
      <c r="J39" s="4"/>
      <c r="K39" s="4"/>
    </row>
    <row r="40" spans="2:7" ht="12.75">
      <c r="B40" s="14"/>
      <c r="C40" s="14"/>
      <c r="D40" s="14"/>
      <c r="E40" s="14"/>
      <c r="F40" s="14"/>
      <c r="G40" s="14"/>
    </row>
    <row r="41" spans="2:7" ht="12.75">
      <c r="B41" s="14"/>
      <c r="C41" s="14"/>
      <c r="D41" s="14"/>
      <c r="E41" s="14"/>
      <c r="F41" s="14"/>
      <c r="G41" s="14"/>
    </row>
    <row r="42" spans="2:7" ht="12.75">
      <c r="B42" s="14"/>
      <c r="C42" s="14"/>
      <c r="D42" s="14"/>
      <c r="E42" s="14"/>
      <c r="F42" s="14"/>
      <c r="G42" s="14"/>
    </row>
    <row r="43" spans="2:7" ht="12.75">
      <c r="B43" s="14"/>
      <c r="C43" s="14"/>
      <c r="D43" s="14"/>
      <c r="E43" s="14"/>
      <c r="F43" s="14"/>
      <c r="G43" s="14"/>
    </row>
    <row r="44" spans="2:7" ht="12.75">
      <c r="B44" s="14"/>
      <c r="C44" s="14"/>
      <c r="D44" s="14"/>
      <c r="E44" s="14"/>
      <c r="F44" s="14"/>
      <c r="G44" s="14"/>
    </row>
    <row r="45" spans="2:7" ht="12.75">
      <c r="B45" s="14"/>
      <c r="C45" s="14"/>
      <c r="D45" s="14"/>
      <c r="E45" s="14"/>
      <c r="F45" s="14"/>
      <c r="G45" s="14"/>
    </row>
  </sheetData>
  <mergeCells count="1">
    <mergeCell ref="A1:J1"/>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sheetPr codeName="Hárok42">
    <tabColor indexed="42"/>
    <pageSetUpPr fitToPage="1"/>
  </sheetPr>
  <dimension ref="A1:Q40"/>
  <sheetViews>
    <sheetView zoomScaleSheetLayoutView="100" workbookViewId="0" topLeftCell="A1">
      <selection activeCell="I3" sqref="I3"/>
    </sheetView>
  </sheetViews>
  <sheetFormatPr defaultColWidth="9.140625" defaultRowHeight="12.75"/>
  <cols>
    <col min="1" max="1" width="25.7109375" style="0" customWidth="1"/>
    <col min="2" max="2" width="16.421875" style="0" customWidth="1"/>
    <col min="3" max="11" width="15.7109375" style="0" customWidth="1"/>
    <col min="12" max="12" width="7.7109375" style="0" customWidth="1"/>
  </cols>
  <sheetData>
    <row r="1" spans="1:10" ht="75" customHeight="1">
      <c r="A1" s="574" t="s">
        <v>43</v>
      </c>
      <c r="B1" s="574"/>
      <c r="C1" s="574"/>
      <c r="D1" s="574"/>
      <c r="E1" s="574"/>
      <c r="F1" s="574"/>
      <c r="G1" s="574"/>
      <c r="H1" s="574"/>
      <c r="I1" s="574"/>
      <c r="J1" s="574"/>
    </row>
    <row r="2" spans="1:10" ht="97.5" customHeight="1">
      <c r="A2" s="79" t="s">
        <v>154</v>
      </c>
      <c r="B2" s="79" t="s">
        <v>214</v>
      </c>
      <c r="C2" s="79" t="s">
        <v>215</v>
      </c>
      <c r="D2" s="79" t="s">
        <v>216</v>
      </c>
      <c r="E2" s="79" t="s">
        <v>239</v>
      </c>
      <c r="F2" s="79" t="s">
        <v>240</v>
      </c>
      <c r="G2" s="79" t="s">
        <v>241</v>
      </c>
      <c r="H2" s="36" t="s">
        <v>294</v>
      </c>
      <c r="I2" s="37" t="s">
        <v>295</v>
      </c>
      <c r="J2" s="36" t="s">
        <v>296</v>
      </c>
    </row>
    <row r="3" spans="1:17" ht="15">
      <c r="A3" s="217" t="s">
        <v>60</v>
      </c>
      <c r="B3" s="218">
        <v>85</v>
      </c>
      <c r="C3" s="218">
        <v>178</v>
      </c>
      <c r="D3" s="219">
        <f aca="true" t="shared" si="0" ref="D3:D22">B3+C3</f>
        <v>263</v>
      </c>
      <c r="E3" s="219">
        <v>84</v>
      </c>
      <c r="F3" s="219">
        <v>198</v>
      </c>
      <c r="G3" s="219">
        <f aca="true" t="shared" si="1" ref="G3:G23">SUM(E3:F3)</f>
        <v>282</v>
      </c>
      <c r="H3" s="220">
        <f>E3-B3</f>
        <v>-1</v>
      </c>
      <c r="I3" s="221">
        <f>F3-C3</f>
        <v>20</v>
      </c>
      <c r="J3" s="220">
        <f>G3-D3</f>
        <v>19</v>
      </c>
      <c r="L3" s="18"/>
      <c r="Q3" s="18"/>
    </row>
    <row r="4" spans="1:17" ht="15">
      <c r="A4" s="217" t="s">
        <v>78</v>
      </c>
      <c r="B4" s="218">
        <v>16</v>
      </c>
      <c r="C4" s="218">
        <v>27</v>
      </c>
      <c r="D4" s="219">
        <f t="shared" si="0"/>
        <v>43</v>
      </c>
      <c r="E4" s="219">
        <v>19</v>
      </c>
      <c r="F4" s="219">
        <v>24</v>
      </c>
      <c r="G4" s="219">
        <f t="shared" si="1"/>
        <v>43</v>
      </c>
      <c r="H4" s="220">
        <f aca="true" t="shared" si="2" ref="H4:H23">E4-B4</f>
        <v>3</v>
      </c>
      <c r="I4" s="221">
        <f aca="true" t="shared" si="3" ref="I4:I23">F4-C4</f>
        <v>-3</v>
      </c>
      <c r="J4" s="220">
        <f aca="true" t="shared" si="4" ref="J4:J23">G4-D4</f>
        <v>0</v>
      </c>
      <c r="L4" s="18"/>
      <c r="Q4" s="18"/>
    </row>
    <row r="5" spans="1:17" ht="15">
      <c r="A5" s="217" t="s">
        <v>80</v>
      </c>
      <c r="B5" s="218">
        <v>13</v>
      </c>
      <c r="C5" s="218">
        <v>21</v>
      </c>
      <c r="D5" s="219">
        <f t="shared" si="0"/>
        <v>34</v>
      </c>
      <c r="E5" s="219">
        <v>12</v>
      </c>
      <c r="F5" s="219">
        <v>23</v>
      </c>
      <c r="G5" s="219">
        <f t="shared" si="1"/>
        <v>35</v>
      </c>
      <c r="H5" s="220">
        <f t="shared" si="2"/>
        <v>-1</v>
      </c>
      <c r="I5" s="221">
        <f t="shared" si="3"/>
        <v>2</v>
      </c>
      <c r="J5" s="220">
        <f t="shared" si="4"/>
        <v>1</v>
      </c>
      <c r="L5" s="18"/>
      <c r="Q5" s="18"/>
    </row>
    <row r="6" spans="1:17" ht="15">
      <c r="A6" s="217" t="s">
        <v>87</v>
      </c>
      <c r="B6" s="218">
        <v>0</v>
      </c>
      <c r="C6" s="218">
        <v>0</v>
      </c>
      <c r="D6" s="219">
        <f t="shared" si="0"/>
        <v>0</v>
      </c>
      <c r="E6" s="219">
        <v>0</v>
      </c>
      <c r="F6" s="219">
        <v>0</v>
      </c>
      <c r="G6" s="219">
        <f t="shared" si="1"/>
        <v>0</v>
      </c>
      <c r="H6" s="220">
        <f t="shared" si="2"/>
        <v>0</v>
      </c>
      <c r="I6" s="221">
        <f t="shared" si="3"/>
        <v>0</v>
      </c>
      <c r="J6" s="220">
        <f t="shared" si="4"/>
        <v>0</v>
      </c>
      <c r="L6" s="18"/>
      <c r="Q6" s="18"/>
    </row>
    <row r="7" spans="1:17" ht="15">
      <c r="A7" s="217" t="s">
        <v>90</v>
      </c>
      <c r="B7" s="218">
        <v>1</v>
      </c>
      <c r="C7" s="218">
        <v>13</v>
      </c>
      <c r="D7" s="219">
        <f t="shared" si="0"/>
        <v>14</v>
      </c>
      <c r="E7" s="219">
        <v>2</v>
      </c>
      <c r="F7" s="219">
        <v>7</v>
      </c>
      <c r="G7" s="219">
        <f t="shared" si="1"/>
        <v>9</v>
      </c>
      <c r="H7" s="220">
        <f t="shared" si="2"/>
        <v>1</v>
      </c>
      <c r="I7" s="221">
        <f t="shared" si="3"/>
        <v>-6</v>
      </c>
      <c r="J7" s="220">
        <f t="shared" si="4"/>
        <v>-5</v>
      </c>
      <c r="L7" s="18"/>
      <c r="Q7" s="18"/>
    </row>
    <row r="8" spans="1:17" ht="15">
      <c r="A8" s="217" t="s">
        <v>91</v>
      </c>
      <c r="B8" s="218">
        <v>13</v>
      </c>
      <c r="C8" s="218">
        <v>17</v>
      </c>
      <c r="D8" s="219">
        <f t="shared" si="0"/>
        <v>30</v>
      </c>
      <c r="E8" s="219">
        <v>19</v>
      </c>
      <c r="F8" s="219">
        <v>23</v>
      </c>
      <c r="G8" s="219">
        <f t="shared" si="1"/>
        <v>42</v>
      </c>
      <c r="H8" s="220">
        <f t="shared" si="2"/>
        <v>6</v>
      </c>
      <c r="I8" s="221">
        <f t="shared" si="3"/>
        <v>6</v>
      </c>
      <c r="J8" s="220">
        <f t="shared" si="4"/>
        <v>12</v>
      </c>
      <c r="L8" s="18"/>
      <c r="Q8" s="18"/>
    </row>
    <row r="9" spans="1:17" ht="15">
      <c r="A9" s="217" t="s">
        <v>94</v>
      </c>
      <c r="B9" s="218">
        <v>9</v>
      </c>
      <c r="C9" s="218">
        <v>18</v>
      </c>
      <c r="D9" s="219">
        <f t="shared" si="0"/>
        <v>27</v>
      </c>
      <c r="E9" s="219">
        <v>12</v>
      </c>
      <c r="F9" s="219">
        <v>39</v>
      </c>
      <c r="G9" s="219">
        <f t="shared" si="1"/>
        <v>51</v>
      </c>
      <c r="H9" s="220">
        <f t="shared" si="2"/>
        <v>3</v>
      </c>
      <c r="I9" s="221">
        <f t="shared" si="3"/>
        <v>21</v>
      </c>
      <c r="J9" s="220">
        <f t="shared" si="4"/>
        <v>24</v>
      </c>
      <c r="L9" s="18"/>
      <c r="Q9" s="18"/>
    </row>
    <row r="10" spans="1:17" ht="15">
      <c r="A10" s="217" t="s">
        <v>98</v>
      </c>
      <c r="B10" s="218">
        <v>16</v>
      </c>
      <c r="C10" s="218">
        <v>45</v>
      </c>
      <c r="D10" s="219">
        <f t="shared" si="0"/>
        <v>61</v>
      </c>
      <c r="E10" s="219">
        <v>21</v>
      </c>
      <c r="F10" s="219">
        <v>35</v>
      </c>
      <c r="G10" s="219">
        <f t="shared" si="1"/>
        <v>56</v>
      </c>
      <c r="H10" s="220">
        <f t="shared" si="2"/>
        <v>5</v>
      </c>
      <c r="I10" s="221">
        <f t="shared" si="3"/>
        <v>-10</v>
      </c>
      <c r="J10" s="220">
        <f t="shared" si="4"/>
        <v>-5</v>
      </c>
      <c r="L10" s="18"/>
      <c r="Q10" s="18"/>
    </row>
    <row r="11" spans="1:17" ht="15">
      <c r="A11" s="217" t="s">
        <v>101</v>
      </c>
      <c r="B11" s="218">
        <v>58</v>
      </c>
      <c r="C11" s="218">
        <v>53</v>
      </c>
      <c r="D11" s="219">
        <f t="shared" si="0"/>
        <v>111</v>
      </c>
      <c r="E11" s="219">
        <v>72</v>
      </c>
      <c r="F11" s="219">
        <v>52</v>
      </c>
      <c r="G11" s="219">
        <f t="shared" si="1"/>
        <v>124</v>
      </c>
      <c r="H11" s="220">
        <f t="shared" si="2"/>
        <v>14</v>
      </c>
      <c r="I11" s="221">
        <f t="shared" si="3"/>
        <v>-1</v>
      </c>
      <c r="J11" s="220">
        <f t="shared" si="4"/>
        <v>13</v>
      </c>
      <c r="L11" s="18"/>
      <c r="Q11" s="18"/>
    </row>
    <row r="12" spans="1:17" ht="15">
      <c r="A12" s="217" t="s">
        <v>106</v>
      </c>
      <c r="B12" s="218">
        <v>27</v>
      </c>
      <c r="C12" s="218">
        <v>57</v>
      </c>
      <c r="D12" s="219">
        <f t="shared" si="0"/>
        <v>84</v>
      </c>
      <c r="E12" s="219">
        <v>30</v>
      </c>
      <c r="F12" s="219">
        <v>46</v>
      </c>
      <c r="G12" s="219">
        <f t="shared" si="1"/>
        <v>76</v>
      </c>
      <c r="H12" s="220">
        <f t="shared" si="2"/>
        <v>3</v>
      </c>
      <c r="I12" s="221">
        <f t="shared" si="3"/>
        <v>-11</v>
      </c>
      <c r="J12" s="220">
        <f t="shared" si="4"/>
        <v>-8</v>
      </c>
      <c r="L12" s="18"/>
      <c r="Q12" s="18"/>
    </row>
    <row r="13" spans="1:17" ht="15">
      <c r="A13" s="217" t="s">
        <v>111</v>
      </c>
      <c r="B13" s="218">
        <v>28</v>
      </c>
      <c r="C13" s="218">
        <v>38</v>
      </c>
      <c r="D13" s="219">
        <f t="shared" si="0"/>
        <v>66</v>
      </c>
      <c r="E13" s="219">
        <v>29</v>
      </c>
      <c r="F13" s="219">
        <v>39</v>
      </c>
      <c r="G13" s="219">
        <f t="shared" si="1"/>
        <v>68</v>
      </c>
      <c r="H13" s="220">
        <f t="shared" si="2"/>
        <v>1</v>
      </c>
      <c r="I13" s="221">
        <f t="shared" si="3"/>
        <v>1</v>
      </c>
      <c r="J13" s="220">
        <f t="shared" si="4"/>
        <v>2</v>
      </c>
      <c r="L13" s="18"/>
      <c r="Q13" s="18"/>
    </row>
    <row r="14" spans="1:17" ht="15">
      <c r="A14" s="217" t="s">
        <v>115</v>
      </c>
      <c r="B14" s="218">
        <v>0</v>
      </c>
      <c r="C14" s="218">
        <v>1</v>
      </c>
      <c r="D14" s="219">
        <f t="shared" si="0"/>
        <v>1</v>
      </c>
      <c r="E14" s="219">
        <v>7</v>
      </c>
      <c r="F14" s="219">
        <v>5</v>
      </c>
      <c r="G14" s="219">
        <f t="shared" si="1"/>
        <v>12</v>
      </c>
      <c r="H14" s="220">
        <f t="shared" si="2"/>
        <v>7</v>
      </c>
      <c r="I14" s="221">
        <f t="shared" si="3"/>
        <v>4</v>
      </c>
      <c r="J14" s="220">
        <f t="shared" si="4"/>
        <v>11</v>
      </c>
      <c r="L14" s="18"/>
      <c r="Q14" s="18"/>
    </row>
    <row r="15" spans="1:17" ht="15">
      <c r="A15" s="217" t="s">
        <v>120</v>
      </c>
      <c r="B15" s="218">
        <v>8</v>
      </c>
      <c r="C15" s="218">
        <v>50</v>
      </c>
      <c r="D15" s="219">
        <f t="shared" si="0"/>
        <v>58</v>
      </c>
      <c r="E15" s="219">
        <v>15</v>
      </c>
      <c r="F15" s="219">
        <v>61</v>
      </c>
      <c r="G15" s="219">
        <f t="shared" si="1"/>
        <v>76</v>
      </c>
      <c r="H15" s="220">
        <f t="shared" si="2"/>
        <v>7</v>
      </c>
      <c r="I15" s="221">
        <f t="shared" si="3"/>
        <v>11</v>
      </c>
      <c r="J15" s="220">
        <f t="shared" si="4"/>
        <v>18</v>
      </c>
      <c r="L15" s="18"/>
      <c r="Q15" s="18"/>
    </row>
    <row r="16" spans="1:17" ht="15">
      <c r="A16" s="217" t="s">
        <v>127</v>
      </c>
      <c r="B16" s="218">
        <v>15</v>
      </c>
      <c r="C16" s="218">
        <v>39</v>
      </c>
      <c r="D16" s="219">
        <f t="shared" si="0"/>
        <v>54</v>
      </c>
      <c r="E16" s="219">
        <v>32</v>
      </c>
      <c r="F16" s="219">
        <v>36</v>
      </c>
      <c r="G16" s="219">
        <f t="shared" si="1"/>
        <v>68</v>
      </c>
      <c r="H16" s="220">
        <f t="shared" si="2"/>
        <v>17</v>
      </c>
      <c r="I16" s="221">
        <f t="shared" si="3"/>
        <v>-3</v>
      </c>
      <c r="J16" s="220">
        <f t="shared" si="4"/>
        <v>14</v>
      </c>
      <c r="L16" s="18"/>
      <c r="Q16" s="18"/>
    </row>
    <row r="17" spans="1:17" ht="15">
      <c r="A17" s="217" t="s">
        <v>133</v>
      </c>
      <c r="B17" s="218">
        <v>9</v>
      </c>
      <c r="C17" s="218">
        <v>11</v>
      </c>
      <c r="D17" s="219">
        <f t="shared" si="0"/>
        <v>20</v>
      </c>
      <c r="E17" s="219">
        <v>12</v>
      </c>
      <c r="F17" s="219">
        <v>14</v>
      </c>
      <c r="G17" s="219">
        <f t="shared" si="1"/>
        <v>26</v>
      </c>
      <c r="H17" s="220">
        <f t="shared" si="2"/>
        <v>3</v>
      </c>
      <c r="I17" s="221">
        <f t="shared" si="3"/>
        <v>3</v>
      </c>
      <c r="J17" s="220">
        <f t="shared" si="4"/>
        <v>6</v>
      </c>
      <c r="L17" s="18"/>
      <c r="Q17" s="18"/>
    </row>
    <row r="18" spans="1:17" ht="15">
      <c r="A18" s="217" t="s">
        <v>137</v>
      </c>
      <c r="B18" s="218">
        <v>9</v>
      </c>
      <c r="C18" s="218">
        <v>12</v>
      </c>
      <c r="D18" s="219">
        <f t="shared" si="0"/>
        <v>21</v>
      </c>
      <c r="E18" s="219">
        <v>7</v>
      </c>
      <c r="F18" s="219">
        <v>12</v>
      </c>
      <c r="G18" s="219">
        <f t="shared" si="1"/>
        <v>19</v>
      </c>
      <c r="H18" s="220">
        <f t="shared" si="2"/>
        <v>-2</v>
      </c>
      <c r="I18" s="221">
        <f t="shared" si="3"/>
        <v>0</v>
      </c>
      <c r="J18" s="220">
        <f t="shared" si="4"/>
        <v>-2</v>
      </c>
      <c r="L18" s="18"/>
      <c r="Q18" s="18"/>
    </row>
    <row r="19" spans="1:17" ht="15">
      <c r="A19" s="217" t="s">
        <v>141</v>
      </c>
      <c r="B19" s="218">
        <v>1</v>
      </c>
      <c r="C19" s="218">
        <v>1</v>
      </c>
      <c r="D19" s="219">
        <f t="shared" si="0"/>
        <v>2</v>
      </c>
      <c r="E19" s="219">
        <v>2</v>
      </c>
      <c r="F19" s="219">
        <v>4</v>
      </c>
      <c r="G19" s="219">
        <f t="shared" si="1"/>
        <v>6</v>
      </c>
      <c r="H19" s="220">
        <f t="shared" si="2"/>
        <v>1</v>
      </c>
      <c r="I19" s="221">
        <f t="shared" si="3"/>
        <v>3</v>
      </c>
      <c r="J19" s="220">
        <f t="shared" si="4"/>
        <v>4</v>
      </c>
      <c r="L19" s="18"/>
      <c r="Q19" s="18"/>
    </row>
    <row r="20" spans="1:17" ht="15">
      <c r="A20" s="217" t="s">
        <v>142</v>
      </c>
      <c r="B20" s="218">
        <v>0</v>
      </c>
      <c r="C20" s="218">
        <v>0</v>
      </c>
      <c r="D20" s="219">
        <f t="shared" si="0"/>
        <v>0</v>
      </c>
      <c r="E20" s="219">
        <v>0</v>
      </c>
      <c r="F20" s="219">
        <v>0</v>
      </c>
      <c r="G20" s="219">
        <f t="shared" si="1"/>
        <v>0</v>
      </c>
      <c r="H20" s="220">
        <f t="shared" si="2"/>
        <v>0</v>
      </c>
      <c r="I20" s="221">
        <f t="shared" si="3"/>
        <v>0</v>
      </c>
      <c r="J20" s="220">
        <f t="shared" si="4"/>
        <v>0</v>
      </c>
      <c r="L20" s="18"/>
      <c r="Q20" s="18"/>
    </row>
    <row r="21" spans="1:17" ht="15">
      <c r="A21" s="217" t="s">
        <v>146</v>
      </c>
      <c r="B21" s="218">
        <v>4</v>
      </c>
      <c r="C21" s="218">
        <v>0</v>
      </c>
      <c r="D21" s="219">
        <f t="shared" si="0"/>
        <v>4</v>
      </c>
      <c r="E21" s="219">
        <v>5</v>
      </c>
      <c r="F21" s="219">
        <v>10</v>
      </c>
      <c r="G21" s="219">
        <f t="shared" si="1"/>
        <v>15</v>
      </c>
      <c r="H21" s="220">
        <f t="shared" si="2"/>
        <v>1</v>
      </c>
      <c r="I21" s="221">
        <f t="shared" si="3"/>
        <v>10</v>
      </c>
      <c r="J21" s="220">
        <f t="shared" si="4"/>
        <v>11</v>
      </c>
      <c r="L21" s="18"/>
      <c r="Q21" s="18"/>
    </row>
    <row r="22" spans="1:17" ht="15">
      <c r="A22" s="217" t="s">
        <v>147</v>
      </c>
      <c r="B22" s="218">
        <v>0</v>
      </c>
      <c r="C22" s="218">
        <v>0</v>
      </c>
      <c r="D22" s="219">
        <f t="shared" si="0"/>
        <v>0</v>
      </c>
      <c r="E22" s="219">
        <v>0</v>
      </c>
      <c r="F22" s="219">
        <v>0</v>
      </c>
      <c r="G22" s="219">
        <f t="shared" si="1"/>
        <v>0</v>
      </c>
      <c r="H22" s="220">
        <f t="shared" si="2"/>
        <v>0</v>
      </c>
      <c r="I22" s="221">
        <f t="shared" si="3"/>
        <v>0</v>
      </c>
      <c r="J22" s="220">
        <f t="shared" si="4"/>
        <v>0</v>
      </c>
      <c r="L22" s="18"/>
      <c r="Q22" s="18"/>
    </row>
    <row r="23" spans="1:17" ht="14.25">
      <c r="A23" s="222" t="s">
        <v>188</v>
      </c>
      <c r="B23" s="223">
        <f>SUM(B3:B22)</f>
        <v>312</v>
      </c>
      <c r="C23" s="223">
        <f>SUM(C3:C22)</f>
        <v>581</v>
      </c>
      <c r="D23" s="223">
        <f>SUM(D3:D22)</f>
        <v>893</v>
      </c>
      <c r="E23" s="223">
        <f>SUM(E3:E22)</f>
        <v>380</v>
      </c>
      <c r="F23" s="223">
        <f>SUM(F3:F22)</f>
        <v>628</v>
      </c>
      <c r="G23" s="223">
        <f t="shared" si="1"/>
        <v>1008</v>
      </c>
      <c r="H23" s="223">
        <f t="shared" si="2"/>
        <v>68</v>
      </c>
      <c r="I23" s="223">
        <f t="shared" si="3"/>
        <v>47</v>
      </c>
      <c r="J23" s="223">
        <f t="shared" si="4"/>
        <v>115</v>
      </c>
      <c r="L23" s="18"/>
      <c r="Q23" s="18"/>
    </row>
    <row r="24" spans="1:10" ht="15.75">
      <c r="A24" s="212" t="s">
        <v>238</v>
      </c>
      <c r="B24" s="213"/>
      <c r="C24" s="214"/>
      <c r="D24" s="214"/>
      <c r="E24" s="214"/>
      <c r="F24" s="214"/>
      <c r="G24" s="214"/>
      <c r="H24" s="214"/>
      <c r="I24" s="214"/>
      <c r="J24" s="215" t="s">
        <v>217</v>
      </c>
    </row>
    <row r="25" spans="1:10" ht="15.75">
      <c r="A25" s="216" t="s">
        <v>297</v>
      </c>
      <c r="B25" s="213"/>
      <c r="C25" s="214"/>
      <c r="D25" s="214"/>
      <c r="E25" s="214"/>
      <c r="F25" s="214"/>
      <c r="G25" s="214"/>
      <c r="H25" s="214"/>
      <c r="I25" s="214"/>
      <c r="J25" s="214"/>
    </row>
    <row r="26" spans="2:3" ht="15.75">
      <c r="B26" s="5"/>
      <c r="C26" s="4"/>
    </row>
    <row r="27" spans="2:3" ht="15.75">
      <c r="B27" s="5"/>
      <c r="C27" s="4"/>
    </row>
    <row r="28" spans="2:3" ht="15.75">
      <c r="B28" s="5"/>
      <c r="C28" s="4"/>
    </row>
    <row r="29" spans="2:3" ht="15.75">
      <c r="B29" s="5"/>
      <c r="C29" s="4"/>
    </row>
    <row r="30" spans="2:3" ht="15.75">
      <c r="B30" s="5"/>
      <c r="C30" s="4"/>
    </row>
    <row r="31" spans="2:3" ht="15.75">
      <c r="B31" s="5"/>
      <c r="C31" s="4"/>
    </row>
    <row r="32" spans="2:3" ht="15.75">
      <c r="B32" s="5"/>
      <c r="C32" s="4"/>
    </row>
    <row r="33" spans="2:3" ht="15.75">
      <c r="B33" s="5"/>
      <c r="C33" s="4"/>
    </row>
    <row r="34" spans="2:3" ht="15.75">
      <c r="B34" s="5"/>
      <c r="C34" s="4"/>
    </row>
    <row r="35" spans="2:3" ht="15.75">
      <c r="B35" s="5"/>
      <c r="C35" s="4"/>
    </row>
    <row r="36" spans="2:3" ht="15.75">
      <c r="B36" s="5"/>
      <c r="C36" s="4"/>
    </row>
    <row r="37" spans="2:3" ht="15.75">
      <c r="B37" s="5"/>
      <c r="C37" s="4"/>
    </row>
    <row r="38" spans="2:3" ht="15.75">
      <c r="B38" s="5"/>
      <c r="C38" s="4"/>
    </row>
    <row r="39" spans="2:3" ht="12.75">
      <c r="B39" s="4"/>
      <c r="C39" s="4"/>
    </row>
    <row r="40" spans="2:3" ht="12.75">
      <c r="B40" s="4"/>
      <c r="C40" s="4"/>
    </row>
  </sheetData>
  <mergeCells count="1">
    <mergeCell ref="A1:J1"/>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jozef.jurkovic</dc:creator>
  <cp:keywords/>
  <dc:description/>
  <cp:lastModifiedBy>Jozef Jurkovič</cp:lastModifiedBy>
  <cp:lastPrinted>2007-05-29T12:22:20Z</cp:lastPrinted>
  <dcterms:created xsi:type="dcterms:W3CDTF">2005-07-04T08:24:56Z</dcterms:created>
  <dcterms:modified xsi:type="dcterms:W3CDTF">2007-05-29T12:22:34Z</dcterms:modified>
  <cp:category/>
  <cp:version/>
  <cp:contentType/>
  <cp:contentStatus/>
</cp:coreProperties>
</file>