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1970" windowHeight="6510" tabRatio="601" activeTab="0"/>
  </bookViews>
  <sheets>
    <sheet name="od 2001" sheetId="1" r:id="rId1"/>
  </sheets>
  <definedNames>
    <definedName name="_xlnm.Print_Area" localSheetId="0">'od 2001'!$A$3:$Z$62</definedName>
  </definedNames>
  <calcPr fullCalcOnLoad="1"/>
</workbook>
</file>

<file path=xl/sharedStrings.xml><?xml version="1.0" encoding="utf-8"?>
<sst xmlns="http://schemas.openxmlformats.org/spreadsheetml/2006/main" count="338" uniqueCount="70">
  <si>
    <t>El. Nováky - odsírenie</t>
  </si>
  <si>
    <t>JEMO - Sociéte Gen. Paris</t>
  </si>
  <si>
    <t>Slovenské elektrárne, a.s.</t>
  </si>
  <si>
    <t>JEMO - Kom. Banka Praha</t>
  </si>
  <si>
    <t>JEMO - Čes. spor. a.s. Praha</t>
  </si>
  <si>
    <t>JEMO - VÚB + SLSP dev.úver</t>
  </si>
  <si>
    <t>JEMO - VÚB + SLSP</t>
  </si>
  <si>
    <t>Bankers Trust - fiduc. úver</t>
  </si>
  <si>
    <t>Bankers Trust</t>
  </si>
  <si>
    <t xml:space="preserve">EIB </t>
  </si>
  <si>
    <t>WB</t>
  </si>
  <si>
    <t>CCF Paris</t>
  </si>
  <si>
    <t>KfW</t>
  </si>
  <si>
    <t>JEMO - KfW Frankfurt n/M</t>
  </si>
  <si>
    <t>Železnice SR</t>
  </si>
  <si>
    <t>FUJI Bank</t>
  </si>
  <si>
    <t>SLSP, a.s.</t>
  </si>
  <si>
    <t>EIB</t>
  </si>
  <si>
    <t>USD</t>
  </si>
  <si>
    <t>EUR</t>
  </si>
  <si>
    <t>Chemicelulóza, š.p. Žilina</t>
  </si>
  <si>
    <t>I.</t>
  </si>
  <si>
    <t>Pozagas, a.s. Malacky</t>
  </si>
  <si>
    <t>Láb IV</t>
  </si>
  <si>
    <t>Slovenský plyn. priemysel, š.p.</t>
  </si>
  <si>
    <t>NIB</t>
  </si>
  <si>
    <t>Imuna, š.p. Šarišské Michaľany</t>
  </si>
  <si>
    <t>Paroplyn. cyklus, a.s. Bratislava</t>
  </si>
  <si>
    <t>The Chase Manhattan Bank</t>
  </si>
  <si>
    <t>Poľnobanka, a.s. Bratislava</t>
  </si>
  <si>
    <t>Tatra banka, a.s.</t>
  </si>
  <si>
    <t>J.P.Morgan</t>
  </si>
  <si>
    <t>DMD FIN, a.s.</t>
  </si>
  <si>
    <t>Slov. vodohosp. podnik, š.p.</t>
  </si>
  <si>
    <t>Depfa a Citibank</t>
  </si>
  <si>
    <t>Poľnobanka, a.s.</t>
  </si>
  <si>
    <t>Všeobecná úverová banka, a.s.</t>
  </si>
  <si>
    <t>EIB 2</t>
  </si>
  <si>
    <t>Letové prevádzkové služby</t>
  </si>
  <si>
    <t>EIB - I.tranža</t>
  </si>
  <si>
    <t>EIB - II.tranža</t>
  </si>
  <si>
    <t>EIB - III.tranža</t>
  </si>
  <si>
    <t>Fond národného majetku SR</t>
  </si>
  <si>
    <t>Slovenská sporiteľňa,a.s.</t>
  </si>
  <si>
    <t>Credit Suisse First Boston</t>
  </si>
  <si>
    <t>Tatra banka, a.s. + 2 banky</t>
  </si>
  <si>
    <t>SKK</t>
  </si>
  <si>
    <t>Slovenská zár. a rozv. banka</t>
  </si>
  <si>
    <t>Slov. telekomunikácie, a.s.</t>
  </si>
  <si>
    <t>Vodohospod. výstavba,š.p.</t>
  </si>
  <si>
    <t>Most Košická-Metro Blava,a.s.</t>
  </si>
  <si>
    <t>CEB</t>
  </si>
  <si>
    <t>Invest. a rozvoj. banka a.s.</t>
  </si>
  <si>
    <t>(č.142196001)</t>
  </si>
  <si>
    <t>(č.142196002)</t>
  </si>
  <si>
    <t>Slovenské lodenice Komárno, a.s.,BA</t>
  </si>
  <si>
    <t>EXIMBANKA</t>
  </si>
  <si>
    <t>course 12.03.2002</t>
  </si>
  <si>
    <t>Názov organizácie a projektu</t>
  </si>
  <si>
    <t xml:space="preserve">Dátum </t>
  </si>
  <si>
    <t>Mena</t>
  </si>
  <si>
    <t xml:space="preserve">Zostatok záväzku zo </t>
  </si>
  <si>
    <t>Splácanie úverov v rokoch (v mil. Sk)</t>
  </si>
  <si>
    <t>prevzatia</t>
  </si>
  <si>
    <t>štátnej záruky v mil. Sk</t>
  </si>
  <si>
    <t>št. záruky</t>
  </si>
  <si>
    <t>istina</t>
  </si>
  <si>
    <t>úrok</t>
  </si>
  <si>
    <t>Spolu</t>
  </si>
  <si>
    <t xml:space="preserve">Most Košická - Metro Blava, a.s. 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</si>
</sst>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/mmmm\ yyyy"/>
    <numFmt numFmtId="165" formatCode="_-* #,##0.000\ _S_k_-;\-* #,##0.000\ _S_k_-;_-* &quot;-&quot;??\ _S_k_-;_-@_-"/>
    <numFmt numFmtId="166" formatCode="_-* #,##0.0\ _S_k_-;\-* #,##0.0\ _S_k_-;_-* &quot;-&quot;??\ _S_k_-;_-@_-"/>
    <numFmt numFmtId="167" formatCode="_-* #,##0\ _S_k_-;\-* #,##0\ _S_k_-;_-* &quot;-&quot;??\ _S_k_-;_-@_-"/>
  </numFmts>
  <fonts count="6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b/>
      <i/>
      <sz val="10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thin"/>
    </border>
    <border>
      <left style="medium"/>
      <right style="thin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/>
    </xf>
    <xf numFmtId="0" fontId="0" fillId="0" borderId="18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6" xfId="0" applyNumberFormat="1" applyBorder="1" applyAlignment="1">
      <alignment/>
    </xf>
    <xf numFmtId="4" fontId="2" fillId="0" borderId="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19" xfId="0" applyFont="1" applyBorder="1" applyAlignment="1">
      <alignment/>
    </xf>
    <xf numFmtId="1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0" fontId="2" fillId="0" borderId="4" xfId="0" applyFont="1" applyBorder="1" applyAlignment="1">
      <alignment/>
    </xf>
    <xf numFmtId="4" fontId="2" fillId="0" borderId="4" xfId="0" applyNumberFormat="1" applyFont="1" applyBorder="1" applyAlignment="1">
      <alignment/>
    </xf>
    <xf numFmtId="0" fontId="2" fillId="0" borderId="0" xfId="0" applyFont="1" applyBorder="1" applyAlignment="1">
      <alignment/>
    </xf>
    <xf numFmtId="14" fontId="0" fillId="0" borderId="6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14" fontId="0" fillId="0" borderId="4" xfId="0" applyNumberFormat="1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Font="1" applyBorder="1" applyAlignment="1">
      <alignment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2" xfId="0" applyFont="1" applyBorder="1" applyAlignment="1">
      <alignment/>
    </xf>
    <xf numFmtId="4" fontId="0" fillId="0" borderId="2" xfId="0" applyNumberFormat="1" applyBorder="1" applyAlignment="1">
      <alignment horizontal="right"/>
    </xf>
    <xf numFmtId="49" fontId="0" fillId="0" borderId="0" xfId="0" applyNumberFormat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14" fontId="0" fillId="0" borderId="3" xfId="0" applyNumberFormat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43" fontId="4" fillId="0" borderId="2" xfId="16" applyFont="1" applyBorder="1" applyAlignment="1">
      <alignment horizontal="right"/>
    </xf>
    <xf numFmtId="0" fontId="2" fillId="0" borderId="20" xfId="0" applyFont="1" applyBorder="1" applyAlignment="1">
      <alignment/>
    </xf>
    <xf numFmtId="4" fontId="0" fillId="0" borderId="29" xfId="0" applyNumberFormat="1" applyBorder="1" applyAlignment="1">
      <alignment/>
    </xf>
    <xf numFmtId="0" fontId="0" fillId="0" borderId="7" xfId="0" applyBorder="1" applyAlignment="1">
      <alignment/>
    </xf>
    <xf numFmtId="4" fontId="0" fillId="0" borderId="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12" xfId="0" applyBorder="1" applyAlignment="1">
      <alignment/>
    </xf>
    <xf numFmtId="0" fontId="2" fillId="0" borderId="30" xfId="0" applyFont="1" applyBorder="1" applyAlignment="1">
      <alignment/>
    </xf>
    <xf numFmtId="4" fontId="2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3" xfId="0" applyFont="1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0" fillId="0" borderId="38" xfId="0" applyBorder="1" applyAlignment="1">
      <alignment/>
    </xf>
    <xf numFmtId="0" fontId="3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23" xfId="0" applyFont="1" applyBorder="1" applyAlignment="1">
      <alignment/>
    </xf>
    <xf numFmtId="4" fontId="5" fillId="0" borderId="23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0" fontId="2" fillId="0" borderId="23" xfId="0" applyFont="1" applyBorder="1" applyAlignment="1">
      <alignment/>
    </xf>
    <xf numFmtId="0" fontId="2" fillId="0" borderId="39" xfId="0" applyFont="1" applyBorder="1" applyAlignment="1">
      <alignment/>
    </xf>
    <xf numFmtId="0" fontId="1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1" fillId="0" borderId="30" xfId="0" applyFont="1" applyBorder="1" applyAlignment="1">
      <alignment/>
    </xf>
    <xf numFmtId="4" fontId="1" fillId="0" borderId="30" xfId="0" applyNumberFormat="1" applyFont="1" applyBorder="1" applyAlignment="1">
      <alignment/>
    </xf>
    <xf numFmtId="4" fontId="0" fillId="0" borderId="3" xfId="0" applyNumberFormat="1" applyBorder="1" applyAlignment="1">
      <alignment horizontal="right"/>
    </xf>
    <xf numFmtId="4" fontId="0" fillId="0" borderId="29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2" fillId="0" borderId="41" xfId="0" applyNumberFormat="1" applyFont="1" applyBorder="1" applyAlignment="1">
      <alignment/>
    </xf>
    <xf numFmtId="0" fontId="4" fillId="0" borderId="42" xfId="0" applyFont="1" applyBorder="1" applyAlignment="1">
      <alignment/>
    </xf>
    <xf numFmtId="0" fontId="0" fillId="0" borderId="1" xfId="0" applyBorder="1" applyAlignment="1">
      <alignment/>
    </xf>
    <xf numFmtId="14" fontId="0" fillId="0" borderId="17" xfId="0" applyNumberFormat="1" applyBorder="1" applyAlignment="1">
      <alignment/>
    </xf>
    <xf numFmtId="0" fontId="4" fillId="0" borderId="43" xfId="0" applyFont="1" applyBorder="1" applyAlignment="1">
      <alignment/>
    </xf>
    <xf numFmtId="0" fontId="0" fillId="0" borderId="44" xfId="0" applyBorder="1" applyAlignment="1">
      <alignment/>
    </xf>
    <xf numFmtId="4" fontId="0" fillId="0" borderId="28" xfId="0" applyNumberForma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0" fillId="0" borderId="29" xfId="0" applyBorder="1" applyAlignment="1">
      <alignment/>
    </xf>
    <xf numFmtId="0" fontId="0" fillId="0" borderId="41" xfId="0" applyBorder="1" applyAlignment="1">
      <alignment/>
    </xf>
    <xf numFmtId="4" fontId="2" fillId="0" borderId="38" xfId="0" applyNumberFormat="1" applyFont="1" applyBorder="1" applyAlignment="1">
      <alignment/>
    </xf>
    <xf numFmtId="0" fontId="0" fillId="0" borderId="46" xfId="0" applyBorder="1" applyAlignment="1">
      <alignment/>
    </xf>
    <xf numFmtId="0" fontId="2" fillId="0" borderId="29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45" xfId="0" applyBorder="1" applyAlignment="1">
      <alignment/>
    </xf>
    <xf numFmtId="0" fontId="1" fillId="0" borderId="47" xfId="0" applyFont="1" applyBorder="1" applyAlignment="1">
      <alignment/>
    </xf>
    <xf numFmtId="0" fontId="1" fillId="0" borderId="4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4" xfId="0" applyFont="1" applyBorder="1" applyAlignment="1">
      <alignment/>
    </xf>
    <xf numFmtId="0" fontId="4" fillId="0" borderId="38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1" fillId="0" borderId="50" xfId="0" applyFont="1" applyBorder="1" applyAlignment="1">
      <alignment/>
    </xf>
    <xf numFmtId="4" fontId="2" fillId="0" borderId="5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0" fillId="0" borderId="35" xfId="0" applyBorder="1" applyAlignment="1">
      <alignment/>
    </xf>
    <xf numFmtId="0" fontId="0" fillId="0" borderId="52" xfId="0" applyBorder="1" applyAlignment="1">
      <alignment/>
    </xf>
    <xf numFmtId="14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48" xfId="0" applyBorder="1" applyAlignment="1">
      <alignment/>
    </xf>
    <xf numFmtId="0" fontId="0" fillId="0" borderId="39" xfId="0" applyBorder="1" applyAlignment="1">
      <alignment/>
    </xf>
    <xf numFmtId="0" fontId="2" fillId="0" borderId="22" xfId="0" applyFont="1" applyBorder="1" applyAlignment="1">
      <alignment/>
    </xf>
    <xf numFmtId="4" fontId="2" fillId="0" borderId="23" xfId="0" applyNumberFormat="1" applyFont="1" applyBorder="1" applyAlignment="1">
      <alignment/>
    </xf>
    <xf numFmtId="0" fontId="0" fillId="0" borderId="22" xfId="0" applyFont="1" applyBorder="1" applyAlignment="1">
      <alignment/>
    </xf>
    <xf numFmtId="14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30" xfId="0" applyBorder="1" applyAlignment="1">
      <alignment/>
    </xf>
    <xf numFmtId="0" fontId="0" fillId="0" borderId="58" xfId="0" applyBorder="1" applyAlignment="1">
      <alignment/>
    </xf>
    <xf numFmtId="0" fontId="2" fillId="0" borderId="21" xfId="0" applyFont="1" applyBorder="1" applyAlignment="1">
      <alignment/>
    </xf>
    <xf numFmtId="0" fontId="2" fillId="0" borderId="40" xfId="0" applyFont="1" applyBorder="1" applyAlignment="1">
      <alignment/>
    </xf>
    <xf numFmtId="0" fontId="4" fillId="0" borderId="7" xfId="0" applyFont="1" applyBorder="1" applyAlignment="1">
      <alignment/>
    </xf>
    <xf numFmtId="4" fontId="0" fillId="0" borderId="59" xfId="0" applyNumberFormat="1" applyBorder="1" applyAlignment="1">
      <alignment/>
    </xf>
    <xf numFmtId="43" fontId="1" fillId="0" borderId="29" xfId="16" applyNumberFormat="1" applyFont="1" applyBorder="1" applyAlignment="1">
      <alignment/>
    </xf>
    <xf numFmtId="4" fontId="0" fillId="0" borderId="41" xfId="0" applyNumberFormat="1" applyBorder="1" applyAlignment="1">
      <alignment/>
    </xf>
    <xf numFmtId="4" fontId="0" fillId="0" borderId="59" xfId="0" applyNumberFormat="1" applyBorder="1" applyAlignment="1">
      <alignment horizontal="right"/>
    </xf>
    <xf numFmtId="4" fontId="5" fillId="0" borderId="48" xfId="0" applyNumberFormat="1" applyFont="1" applyBorder="1" applyAlignment="1">
      <alignment/>
    </xf>
    <xf numFmtId="4" fontId="5" fillId="0" borderId="60" xfId="0" applyNumberFormat="1" applyFont="1" applyBorder="1" applyAlignment="1">
      <alignment/>
    </xf>
    <xf numFmtId="4" fontId="0" fillId="0" borderId="59" xfId="0" applyNumberFormat="1" applyFont="1" applyBorder="1" applyAlignment="1">
      <alignment/>
    </xf>
    <xf numFmtId="4" fontId="0" fillId="0" borderId="56" xfId="0" applyNumberFormat="1" applyBorder="1" applyAlignment="1">
      <alignment/>
    </xf>
    <xf numFmtId="4" fontId="0" fillId="0" borderId="58" xfId="0" applyNumberFormat="1" applyBorder="1" applyAlignment="1">
      <alignment/>
    </xf>
    <xf numFmtId="4" fontId="2" fillId="0" borderId="61" xfId="0" applyNumberFormat="1" applyFont="1" applyBorder="1" applyAlignment="1">
      <alignment/>
    </xf>
    <xf numFmtId="0" fontId="0" fillId="0" borderId="62" xfId="0" applyBorder="1" applyAlignment="1">
      <alignment/>
    </xf>
    <xf numFmtId="0" fontId="1" fillId="0" borderId="17" xfId="0" applyFont="1" applyBorder="1" applyAlignment="1">
      <alignment/>
    </xf>
    <xf numFmtId="0" fontId="1" fillId="0" borderId="48" xfId="0" applyFont="1" applyBorder="1" applyAlignment="1">
      <alignment/>
    </xf>
    <xf numFmtId="4" fontId="1" fillId="0" borderId="60" xfId="0" applyNumberFormat="1" applyFont="1" applyBorder="1" applyAlignment="1">
      <alignment/>
    </xf>
    <xf numFmtId="0" fontId="1" fillId="0" borderId="7" xfId="0" applyFont="1" applyBorder="1" applyAlignment="1">
      <alignment/>
    </xf>
    <xf numFmtId="4" fontId="2" fillId="0" borderId="48" xfId="0" applyNumberFormat="1" applyFont="1" applyBorder="1" applyAlignment="1">
      <alignment/>
    </xf>
    <xf numFmtId="4" fontId="2" fillId="0" borderId="60" xfId="0" applyNumberFormat="1" applyFont="1" applyBorder="1" applyAlignment="1">
      <alignment/>
    </xf>
    <xf numFmtId="4" fontId="0" fillId="0" borderId="48" xfId="0" applyNumberFormat="1" applyFont="1" applyBorder="1" applyAlignment="1">
      <alignment/>
    </xf>
    <xf numFmtId="4" fontId="0" fillId="0" borderId="60" xfId="0" applyNumberFormat="1" applyFont="1" applyBorder="1" applyAlignment="1">
      <alignment/>
    </xf>
    <xf numFmtId="4" fontId="0" fillId="0" borderId="58" xfId="0" applyNumberFormat="1" applyFont="1" applyBorder="1" applyAlignment="1">
      <alignment/>
    </xf>
    <xf numFmtId="4" fontId="0" fillId="0" borderId="4" xfId="0" applyNumberFormat="1" applyBorder="1" applyAlignment="1">
      <alignment horizontal="right"/>
    </xf>
    <xf numFmtId="4" fontId="0" fillId="0" borderId="45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0" fontId="2" fillId="0" borderId="5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63" xfId="0" applyFont="1" applyBorder="1" applyAlignment="1">
      <alignment/>
    </xf>
    <xf numFmtId="0" fontId="2" fillId="0" borderId="5" xfId="0" applyFont="1" applyBorder="1" applyAlignment="1">
      <alignment/>
    </xf>
    <xf numFmtId="4" fontId="2" fillId="0" borderId="44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0" fillId="0" borderId="60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08"/>
  <sheetViews>
    <sheetView tabSelected="1" zoomScale="75" zoomScaleNormal="75" zoomScaleSheetLayoutView="75" workbookViewId="0" topLeftCell="A44">
      <selection activeCell="H196" sqref="H196"/>
    </sheetView>
  </sheetViews>
  <sheetFormatPr defaultColWidth="9.00390625" defaultRowHeight="12.75"/>
  <cols>
    <col min="1" max="1" width="31.375" style="0" customWidth="1"/>
    <col min="2" max="2" width="14.75390625" style="0" customWidth="1"/>
    <col min="3" max="3" width="5.875" style="0" customWidth="1"/>
    <col min="4" max="4" width="19.875" style="0" customWidth="1"/>
    <col min="5" max="5" width="17.625" style="0" customWidth="1"/>
    <col min="6" max="6" width="6.625" style="0" customWidth="1"/>
    <col min="7" max="12" width="10.75390625" style="0" customWidth="1"/>
    <col min="13" max="18" width="9.75390625" style="0" customWidth="1"/>
    <col min="19" max="19" width="11.125" style="0" customWidth="1"/>
    <col min="20" max="20" width="10.875" style="0" customWidth="1"/>
    <col min="21" max="21" width="9.75390625" style="0" customWidth="1"/>
    <col min="22" max="22" width="9.625" style="0" customWidth="1"/>
    <col min="23" max="23" width="9.25390625" style="0" customWidth="1"/>
    <col min="28" max="28" width="24.125" style="0" customWidth="1"/>
  </cols>
  <sheetData>
    <row r="1" spans="24:45" ht="12.75"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3:45" ht="13.5" thickBot="1">
      <c r="C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45" s="1" customFormat="1" ht="12.75" customHeight="1">
      <c r="A3" s="159" t="s">
        <v>58</v>
      </c>
      <c r="B3" s="15" t="s">
        <v>59</v>
      </c>
      <c r="C3" s="16" t="s">
        <v>60</v>
      </c>
      <c r="D3" s="15" t="s">
        <v>61</v>
      </c>
      <c r="E3" s="17"/>
      <c r="F3" s="16"/>
      <c r="G3" s="18"/>
      <c r="H3" s="18"/>
      <c r="I3" s="18" t="s">
        <v>62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81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s="1" customFormat="1" ht="12.75">
      <c r="A4" s="19"/>
      <c r="B4" s="3" t="s">
        <v>63</v>
      </c>
      <c r="C4" s="8"/>
      <c r="D4" s="135" t="s">
        <v>64</v>
      </c>
      <c r="E4" s="160"/>
      <c r="F4" s="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94"/>
      <c r="T4" s="94"/>
      <c r="U4" s="94"/>
      <c r="V4" s="94"/>
      <c r="W4" s="94"/>
      <c r="X4" s="94"/>
      <c r="Y4" s="94"/>
      <c r="Z4" s="95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45" ht="13.5" thickBot="1">
      <c r="A5" s="20"/>
      <c r="B5" s="129" t="s">
        <v>65</v>
      </c>
      <c r="C5" s="11"/>
      <c r="D5" s="12" t="s">
        <v>66</v>
      </c>
      <c r="E5" s="12" t="s">
        <v>67</v>
      </c>
      <c r="F5" s="11"/>
      <c r="G5" s="65">
        <v>2002</v>
      </c>
      <c r="H5" s="65">
        <v>2003</v>
      </c>
      <c r="I5" s="65">
        <v>2004</v>
      </c>
      <c r="J5" s="65">
        <v>2005</v>
      </c>
      <c r="K5" s="65">
        <v>2006</v>
      </c>
      <c r="L5" s="65">
        <v>2007</v>
      </c>
      <c r="M5" s="65">
        <v>2008</v>
      </c>
      <c r="N5" s="65">
        <v>2009</v>
      </c>
      <c r="O5" s="65">
        <v>2010</v>
      </c>
      <c r="P5" s="65">
        <v>2011</v>
      </c>
      <c r="Q5" s="65">
        <v>2012</v>
      </c>
      <c r="R5" s="65">
        <v>2013</v>
      </c>
      <c r="S5" s="70">
        <v>2014</v>
      </c>
      <c r="T5" s="66">
        <v>2015</v>
      </c>
      <c r="U5" s="66">
        <v>2016</v>
      </c>
      <c r="V5" s="66">
        <v>2017</v>
      </c>
      <c r="W5" s="66">
        <v>2018</v>
      </c>
      <c r="X5" s="66">
        <v>2019</v>
      </c>
      <c r="Y5" s="66">
        <v>2020</v>
      </c>
      <c r="Z5" s="161">
        <v>2021</v>
      </c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45" ht="13.5" thickTop="1">
      <c r="A6" s="21" t="s">
        <v>2</v>
      </c>
      <c r="B6" s="9"/>
      <c r="C6" s="9"/>
      <c r="D6" s="9"/>
      <c r="E6" s="9"/>
      <c r="F6" s="9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9"/>
      <c r="U6" s="9"/>
      <c r="V6" s="9"/>
      <c r="W6" s="133"/>
      <c r="X6" s="9"/>
      <c r="Y6" s="9"/>
      <c r="Z6" s="82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2" t="s">
        <v>0</v>
      </c>
      <c r="B7" s="7">
        <v>33472</v>
      </c>
      <c r="C7" s="6" t="s">
        <v>19</v>
      </c>
      <c r="D7" s="29">
        <f>SUM(G7:H7)</f>
        <v>129.65573132100002</v>
      </c>
      <c r="E7" s="6"/>
      <c r="F7" s="6" t="s">
        <v>66</v>
      </c>
      <c r="G7" s="29">
        <f>2052018*B201</f>
        <v>86.437154214</v>
      </c>
      <c r="H7" s="29">
        <f>1026009*B201</f>
        <v>43.218577107</v>
      </c>
      <c r="I7" s="6"/>
      <c r="J7" s="29"/>
      <c r="K7" s="29"/>
      <c r="L7" s="29"/>
      <c r="M7" s="29"/>
      <c r="N7" s="29"/>
      <c r="O7" s="29"/>
      <c r="P7" s="29"/>
      <c r="Q7" s="29"/>
      <c r="R7" s="29"/>
      <c r="S7" s="29"/>
      <c r="T7" s="6"/>
      <c r="U7" s="6"/>
      <c r="V7" s="6"/>
      <c r="W7" s="126"/>
      <c r="X7" s="6"/>
      <c r="Y7" s="6"/>
      <c r="Z7" s="8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</row>
    <row r="8" spans="1:45" ht="12.75">
      <c r="A8" s="22"/>
      <c r="B8" s="6"/>
      <c r="C8" s="6"/>
      <c r="D8" s="6"/>
      <c r="E8" s="29">
        <f>SUM(G8:H8)</f>
        <v>10.998647650470001</v>
      </c>
      <c r="F8" s="6" t="s">
        <v>67</v>
      </c>
      <c r="G8" s="29">
        <f>232379.64*B201</f>
        <v>9.788527575720002</v>
      </c>
      <c r="H8" s="29">
        <f>28728.25*B201</f>
        <v>1.21012007475</v>
      </c>
      <c r="I8" s="6"/>
      <c r="J8" s="29"/>
      <c r="K8" s="29"/>
      <c r="L8" s="29"/>
      <c r="M8" s="29"/>
      <c r="N8" s="29"/>
      <c r="O8" s="29"/>
      <c r="P8" s="29"/>
      <c r="Q8" s="29"/>
      <c r="R8" s="29"/>
      <c r="S8" s="29"/>
      <c r="T8" s="6"/>
      <c r="U8" s="6"/>
      <c r="V8" s="6"/>
      <c r="W8" s="126"/>
      <c r="X8" s="6"/>
      <c r="Y8" s="6"/>
      <c r="Z8" s="8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5" ht="12.75">
      <c r="A9" s="22" t="s">
        <v>13</v>
      </c>
      <c r="B9" s="7">
        <v>35271</v>
      </c>
      <c r="C9" s="6" t="s">
        <v>19</v>
      </c>
      <c r="D9" s="29">
        <f>SUM(G9:N9)</f>
        <v>1717.0306169016899</v>
      </c>
      <c r="E9" s="6"/>
      <c r="F9" s="6" t="s">
        <v>66</v>
      </c>
      <c r="G9" s="29">
        <f>5606316.5*B201</f>
        <v>236.15486992950002</v>
      </c>
      <c r="H9" s="29">
        <f>5606316.5*B201</f>
        <v>236.15486992950002</v>
      </c>
      <c r="I9" s="29">
        <f>5606316.5*B201</f>
        <v>236.15486992950002</v>
      </c>
      <c r="J9" s="29">
        <f>5606316.5*B201</f>
        <v>236.15486992950002</v>
      </c>
      <c r="K9" s="29">
        <f>5606316.5*B201</f>
        <v>236.15486992950002</v>
      </c>
      <c r="L9" s="29">
        <f>5606316.5*B201</f>
        <v>236.15486992950002</v>
      </c>
      <c r="M9" s="29">
        <f>5606316.5*B201</f>
        <v>236.15486992950002</v>
      </c>
      <c r="N9" s="29">
        <f>1518090.53*B201</f>
        <v>63.94652739519</v>
      </c>
      <c r="O9" s="6"/>
      <c r="P9" s="29"/>
      <c r="Q9" s="29"/>
      <c r="R9" s="29"/>
      <c r="S9" s="29"/>
      <c r="T9" s="6"/>
      <c r="U9" s="6"/>
      <c r="V9" s="6"/>
      <c r="W9" s="126"/>
      <c r="X9" s="6"/>
      <c r="Y9" s="6"/>
      <c r="Z9" s="8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ht="12.75">
      <c r="A10" s="22"/>
      <c r="B10" s="6"/>
      <c r="C10" s="6"/>
      <c r="D10" s="6"/>
      <c r="E10" s="29">
        <f>SUM(G10:N10)</f>
        <v>377.09044899084</v>
      </c>
      <c r="F10" s="6" t="s">
        <v>67</v>
      </c>
      <c r="G10" s="29">
        <f>2220271.18*B201</f>
        <v>93.52448291514001</v>
      </c>
      <c r="H10" s="29">
        <f>1903831.97*B201</f>
        <v>80.19511407231</v>
      </c>
      <c r="I10" s="29">
        <f>1589943.98*B201</f>
        <v>66.97321026954</v>
      </c>
      <c r="J10" s="29">
        <f>1270953.52*B201</f>
        <v>53.53637512296</v>
      </c>
      <c r="K10" s="29">
        <f>964740.14*B201</f>
        <v>40.63774891722</v>
      </c>
      <c r="L10" s="29">
        <f>638075.08*B201</f>
        <v>26.87763659484</v>
      </c>
      <c r="M10" s="29">
        <f>322331.65*B201</f>
        <v>13.577576092950002</v>
      </c>
      <c r="N10" s="29">
        <f>41979.56*B201</f>
        <v>1.76830500588</v>
      </c>
      <c r="O10" s="6"/>
      <c r="P10" s="29"/>
      <c r="Q10" s="29"/>
      <c r="R10" s="29"/>
      <c r="S10" s="29"/>
      <c r="T10" s="6"/>
      <c r="U10" s="6"/>
      <c r="V10" s="6"/>
      <c r="W10" s="126"/>
      <c r="X10" s="6"/>
      <c r="Y10" s="6"/>
      <c r="Z10" s="8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ht="12.75">
      <c r="A11" s="22" t="s">
        <v>1</v>
      </c>
      <c r="B11" s="7">
        <v>35271</v>
      </c>
      <c r="C11" s="6" t="s">
        <v>19</v>
      </c>
      <c r="D11" s="29">
        <f>SUM(G11:N11)</f>
        <v>996.8307364488303</v>
      </c>
      <c r="E11" s="6"/>
      <c r="F11" s="6" t="s">
        <v>66</v>
      </c>
      <c r="G11" s="29">
        <f>3272268.04*B201</f>
        <v>137.83774664892002</v>
      </c>
      <c r="H11" s="29">
        <f>3272268.04*B201</f>
        <v>137.83774664892002</v>
      </c>
      <c r="I11" s="29">
        <f>3272268.04*B201</f>
        <v>137.83774664892002</v>
      </c>
      <c r="J11" s="29">
        <f>3272268.04*B201</f>
        <v>137.83774664892002</v>
      </c>
      <c r="K11" s="29">
        <f>3272268.04*B201</f>
        <v>137.83774664892002</v>
      </c>
      <c r="L11" s="29">
        <f>3272268.04*B201</f>
        <v>137.83774664892002</v>
      </c>
      <c r="M11" s="29">
        <f>3272268.04*B201</f>
        <v>137.83774664892002</v>
      </c>
      <c r="N11" s="29">
        <f>758884.93*B201</f>
        <v>31.966509906390005</v>
      </c>
      <c r="O11" s="6"/>
      <c r="P11" s="29"/>
      <c r="Q11" s="29"/>
      <c r="R11" s="29"/>
      <c r="S11" s="29"/>
      <c r="T11" s="6"/>
      <c r="U11" s="6"/>
      <c r="V11" s="6"/>
      <c r="W11" s="126"/>
      <c r="X11" s="6"/>
      <c r="Y11" s="6"/>
      <c r="Z11" s="8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1:45" ht="12.75">
      <c r="A12" s="22"/>
      <c r="B12" s="6"/>
      <c r="C12" s="6"/>
      <c r="D12" s="6"/>
      <c r="E12" s="29">
        <f>SUM(G12:N12)</f>
        <v>137.05314216819</v>
      </c>
      <c r="F12" s="6" t="s">
        <v>67</v>
      </c>
      <c r="G12" s="29">
        <f>812632.32*B201</f>
        <v>34.23051121536</v>
      </c>
      <c r="H12" s="29">
        <f>694467.09*B201</f>
        <v>29.25303723207</v>
      </c>
      <c r="I12" s="29">
        <f>580011.49*B201</f>
        <v>24.43182399327</v>
      </c>
      <c r="J12" s="29">
        <f>463420.99*B201</f>
        <v>19.52068236177</v>
      </c>
      <c r="K12" s="29">
        <f>345765.74*B201</f>
        <v>14.564690266020001</v>
      </c>
      <c r="L12" s="29">
        <f>229730.96*B201</f>
        <v>9.676957228080001</v>
      </c>
      <c r="M12" s="29">
        <f>114258.67*B201</f>
        <v>4.812917956410001</v>
      </c>
      <c r="N12" s="29">
        <f>13354.27*B201</f>
        <v>0.5625219152100001</v>
      </c>
      <c r="O12" s="6"/>
      <c r="P12" s="29"/>
      <c r="Q12" s="29"/>
      <c r="R12" s="29"/>
      <c r="S12" s="29"/>
      <c r="T12" s="6"/>
      <c r="U12" s="6"/>
      <c r="V12" s="6"/>
      <c r="W12" s="126"/>
      <c r="X12" s="6"/>
      <c r="Y12" s="6"/>
      <c r="Z12" s="8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ht="12.75">
      <c r="A13" s="22" t="s">
        <v>3</v>
      </c>
      <c r="B13" s="7">
        <v>35237</v>
      </c>
      <c r="C13" s="6" t="s">
        <v>18</v>
      </c>
      <c r="D13" s="29">
        <f>SUM(G13:M13)</f>
        <v>6260.41</v>
      </c>
      <c r="E13" s="6"/>
      <c r="F13" s="6" t="s">
        <v>66</v>
      </c>
      <c r="G13" s="29">
        <f>20000000*B200</f>
        <v>963.14</v>
      </c>
      <c r="H13" s="29">
        <f>20000000*B200</f>
        <v>963.14</v>
      </c>
      <c r="I13" s="29">
        <f>20000000*B200</f>
        <v>963.14</v>
      </c>
      <c r="J13" s="29">
        <f>20000000*B200</f>
        <v>963.14</v>
      </c>
      <c r="K13" s="29">
        <f>20000000*B200</f>
        <v>963.14</v>
      </c>
      <c r="L13" s="29">
        <f>20000000*B200</f>
        <v>963.14</v>
      </c>
      <c r="M13" s="29">
        <f>10000000*B200</f>
        <v>481.57</v>
      </c>
      <c r="N13" s="6"/>
      <c r="O13" s="29"/>
      <c r="P13" s="29"/>
      <c r="Q13" s="29"/>
      <c r="R13" s="29"/>
      <c r="S13" s="29"/>
      <c r="T13" s="6"/>
      <c r="U13" s="6"/>
      <c r="V13" s="6"/>
      <c r="W13" s="126"/>
      <c r="X13" s="6"/>
      <c r="Y13" s="6"/>
      <c r="Z13" s="8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 ht="12.75">
      <c r="A14" s="22"/>
      <c r="B14" s="6"/>
      <c r="C14" s="6"/>
      <c r="D14" s="6"/>
      <c r="E14" s="29">
        <f>SUM(G14:M14)</f>
        <v>1446.58946080146</v>
      </c>
      <c r="F14" s="6" t="s">
        <v>67</v>
      </c>
      <c r="G14" s="29">
        <f>8235138.89*B200</f>
        <v>396.57958352572996</v>
      </c>
      <c r="H14" s="29">
        <f>6917083.33*B200</f>
        <v>333.10598192281003</v>
      </c>
      <c r="I14" s="29">
        <f>5615277.78*B200</f>
        <v>270.41493205146</v>
      </c>
      <c r="J14" s="29">
        <f>4280972.22*B200</f>
        <v>206.15877919853997</v>
      </c>
      <c r="K14" s="29">
        <f>2962916.67*B200</f>
        <v>142.68517807719</v>
      </c>
      <c r="L14" s="29">
        <f>1644861.11*B200</f>
        <v>79.21157647427</v>
      </c>
      <c r="M14" s="29">
        <f>382777.78*B200</f>
        <v>18.43342955146</v>
      </c>
      <c r="N14" s="6"/>
      <c r="O14" s="29"/>
      <c r="P14" s="29"/>
      <c r="Q14" s="29"/>
      <c r="R14" s="29"/>
      <c r="S14" s="29"/>
      <c r="T14" s="6"/>
      <c r="U14" s="6"/>
      <c r="V14" s="6"/>
      <c r="W14" s="126"/>
      <c r="X14" s="6"/>
      <c r="Y14" s="6"/>
      <c r="Z14" s="8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ht="12.75">
      <c r="A15" s="22" t="s">
        <v>4</v>
      </c>
      <c r="B15" s="7">
        <v>35242</v>
      </c>
      <c r="C15" s="6" t="s">
        <v>19</v>
      </c>
      <c r="D15" s="29">
        <f>SUM(G15:M15)</f>
        <v>1507.6003533196563</v>
      </c>
      <c r="E15" s="6"/>
      <c r="F15" s="6" t="s">
        <v>66</v>
      </c>
      <c r="G15" s="29">
        <f>5112918.812*B201</f>
        <v>215.37147911787602</v>
      </c>
      <c r="H15" s="29">
        <f>5112918.81*B201</f>
        <v>215.37147903363</v>
      </c>
      <c r="I15" s="29">
        <f>5112918.81*B201</f>
        <v>215.37147903363</v>
      </c>
      <c r="J15" s="29">
        <f>5112918.81*B201</f>
        <v>215.37147903363</v>
      </c>
      <c r="K15" s="29">
        <f>5112918.81*B201</f>
        <v>215.37147903363</v>
      </c>
      <c r="L15" s="29">
        <f>5112918.81*B201</f>
        <v>215.37147903363</v>
      </c>
      <c r="M15" s="29">
        <f>5112918.81*B201</f>
        <v>215.37147903363</v>
      </c>
      <c r="N15" s="6"/>
      <c r="O15" s="29"/>
      <c r="P15" s="29"/>
      <c r="Q15" s="29"/>
      <c r="R15" s="29"/>
      <c r="S15" s="29"/>
      <c r="T15" s="6"/>
      <c r="U15" s="6"/>
      <c r="V15" s="6"/>
      <c r="W15" s="126"/>
      <c r="X15" s="6"/>
      <c r="Y15" s="6"/>
      <c r="Z15" s="8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ht="12.75">
      <c r="A16" s="22"/>
      <c r="B16" s="6"/>
      <c r="C16" s="6"/>
      <c r="D16" s="6"/>
      <c r="E16" s="29">
        <f>SUM(G16:M16)</f>
        <v>249.60974340836998</v>
      </c>
      <c r="F16" s="6" t="s">
        <v>67</v>
      </c>
      <c r="G16" s="29">
        <f>1522595.27*B201</f>
        <v>64.13628055821</v>
      </c>
      <c r="H16" s="29">
        <f>1297094.24*B201</f>
        <v>54.63750067152</v>
      </c>
      <c r="I16" s="29">
        <f>1074373.37*B201</f>
        <v>45.25582946451001</v>
      </c>
      <c r="J16" s="29">
        <f>846092.96*B201</f>
        <v>35.63997375408</v>
      </c>
      <c r="K16" s="29">
        <f>620591.17*B201</f>
        <v>26.141161853910003</v>
      </c>
      <c r="L16" s="29">
        <f>395090.15*B201</f>
        <v>16.642382388450002</v>
      </c>
      <c r="M16" s="29">
        <f>169898.03*B201</f>
        <v>7.15661471769</v>
      </c>
      <c r="N16" s="6"/>
      <c r="O16" s="29"/>
      <c r="P16" s="29"/>
      <c r="Q16" s="29"/>
      <c r="R16" s="29"/>
      <c r="S16" s="29"/>
      <c r="T16" s="6"/>
      <c r="U16" s="6"/>
      <c r="V16" s="6"/>
      <c r="W16" s="126"/>
      <c r="X16" s="6"/>
      <c r="Y16" s="6"/>
      <c r="Z16" s="8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ht="12.75">
      <c r="A17" s="22" t="s">
        <v>5</v>
      </c>
      <c r="B17" s="7">
        <v>35268</v>
      </c>
      <c r="C17" s="6" t="s">
        <v>18</v>
      </c>
      <c r="D17" s="29">
        <f>SUM(G17:L17)</f>
        <v>3431.18625</v>
      </c>
      <c r="E17" s="6"/>
      <c r="F17" s="6" t="s">
        <v>66</v>
      </c>
      <c r="G17" s="29">
        <f>11875000*B200</f>
        <v>571.864375</v>
      </c>
      <c r="H17" s="29">
        <f>11875000*B200</f>
        <v>571.864375</v>
      </c>
      <c r="I17" s="29">
        <f>11875000*B200</f>
        <v>571.864375</v>
      </c>
      <c r="J17" s="29">
        <f>11875000*B200</f>
        <v>571.864375</v>
      </c>
      <c r="K17" s="29">
        <f>11875000*B200</f>
        <v>571.864375</v>
      </c>
      <c r="L17" s="29">
        <f>11875000*B200</f>
        <v>571.864375</v>
      </c>
      <c r="M17" s="6"/>
      <c r="N17" s="29"/>
      <c r="O17" s="29"/>
      <c r="P17" s="29"/>
      <c r="Q17" s="29"/>
      <c r="R17" s="29"/>
      <c r="S17" s="29"/>
      <c r="T17" s="6"/>
      <c r="U17" s="6"/>
      <c r="V17" s="6"/>
      <c r="W17" s="126"/>
      <c r="X17" s="6"/>
      <c r="Y17" s="6"/>
      <c r="Z17" s="8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1:45" ht="12.75">
      <c r="A18" s="22"/>
      <c r="B18" s="6"/>
      <c r="C18" s="6"/>
      <c r="D18" s="6"/>
      <c r="E18" s="29">
        <f>SUM(G18:L18)</f>
        <v>730.66793502021</v>
      </c>
      <c r="F18" s="6" t="s">
        <v>67</v>
      </c>
      <c r="G18" s="29">
        <f>4634218.75*B200</f>
        <v>223.17007234375</v>
      </c>
      <c r="H18" s="29">
        <f>3791423.61*B200</f>
        <v>182.58358678676998</v>
      </c>
      <c r="I18" s="29">
        <f>2957864.58*B200</f>
        <v>142.44188457906</v>
      </c>
      <c r="J18" s="29">
        <f>2105833.34*B200</f>
        <v>101.41061615438</v>
      </c>
      <c r="K18" s="29">
        <f>1263038.19*B200</f>
        <v>60.824130115829995</v>
      </c>
      <c r="L18" s="29">
        <f>420243.06*B200</f>
        <v>20.23764504042</v>
      </c>
      <c r="M18" s="6"/>
      <c r="N18" s="29"/>
      <c r="O18" s="29"/>
      <c r="P18" s="29"/>
      <c r="Q18" s="29"/>
      <c r="R18" s="29"/>
      <c r="S18" s="29"/>
      <c r="T18" s="6"/>
      <c r="U18" s="6"/>
      <c r="V18" s="6"/>
      <c r="W18" s="126"/>
      <c r="X18" s="6"/>
      <c r="Y18" s="6"/>
      <c r="Z18" s="8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spans="1:45" ht="12.75">
      <c r="A19" s="22" t="s">
        <v>6</v>
      </c>
      <c r="B19" s="7">
        <v>35268</v>
      </c>
      <c r="C19" s="9" t="s">
        <v>46</v>
      </c>
      <c r="D19" s="29">
        <f>SUM(G19:K19)</f>
        <v>4500</v>
      </c>
      <c r="E19" s="6"/>
      <c r="F19" s="6" t="s">
        <v>66</v>
      </c>
      <c r="G19" s="29">
        <f>900000000*B202</f>
        <v>900</v>
      </c>
      <c r="H19" s="29">
        <f>900000000*B202</f>
        <v>900</v>
      </c>
      <c r="I19" s="29">
        <f>900000000*B202</f>
        <v>900</v>
      </c>
      <c r="J19" s="29">
        <f>900000000*B202</f>
        <v>900</v>
      </c>
      <c r="K19" s="29">
        <f>900000000*B202</f>
        <v>900</v>
      </c>
      <c r="L19" s="6"/>
      <c r="M19" s="29"/>
      <c r="N19" s="29"/>
      <c r="O19" s="29"/>
      <c r="P19" s="29"/>
      <c r="Q19" s="29"/>
      <c r="R19" s="29"/>
      <c r="S19" s="29"/>
      <c r="T19" s="6"/>
      <c r="U19" s="6"/>
      <c r="V19" s="6"/>
      <c r="W19" s="126"/>
      <c r="X19" s="6"/>
      <c r="Y19" s="6"/>
      <c r="Z19" s="8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1:45" ht="12.75">
      <c r="A20" s="22"/>
      <c r="B20" s="6"/>
      <c r="C20" s="6"/>
      <c r="D20" s="6"/>
      <c r="E20" s="29">
        <f>SUM(G20:K20)</f>
        <v>1180.2075</v>
      </c>
      <c r="F20" s="6" t="s">
        <v>67</v>
      </c>
      <c r="G20" s="29">
        <f>438450000*B202</f>
        <v>438.45</v>
      </c>
      <c r="H20" s="29">
        <f>337162500*B202</f>
        <v>337.16249999999997</v>
      </c>
      <c r="I20" s="29">
        <f>236707500*B202</f>
        <v>236.70749999999998</v>
      </c>
      <c r="J20" s="29">
        <f>134587500*B202</f>
        <v>134.5875</v>
      </c>
      <c r="K20" s="29">
        <f>33300000*B202</f>
        <v>33.3</v>
      </c>
      <c r="L20" s="6"/>
      <c r="M20" s="29"/>
      <c r="N20" s="29"/>
      <c r="O20" s="29"/>
      <c r="P20" s="29"/>
      <c r="Q20" s="29"/>
      <c r="R20" s="29"/>
      <c r="S20" s="29"/>
      <c r="T20" s="6"/>
      <c r="U20" s="6"/>
      <c r="V20" s="6"/>
      <c r="W20" s="126"/>
      <c r="X20" s="6"/>
      <c r="Y20" s="6"/>
      <c r="Z20" s="8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 spans="1:45" ht="12.75">
      <c r="A21" s="22" t="s">
        <v>28</v>
      </c>
      <c r="B21" s="7">
        <v>36501</v>
      </c>
      <c r="C21" s="6" t="s">
        <v>18</v>
      </c>
      <c r="D21" s="29">
        <f>25000000*B200</f>
        <v>1203.925</v>
      </c>
      <c r="E21" s="29"/>
      <c r="F21" s="6" t="s">
        <v>66</v>
      </c>
      <c r="G21" s="29">
        <f>25000000*B200</f>
        <v>1203.925</v>
      </c>
      <c r="H21" s="29"/>
      <c r="I21" s="29"/>
      <c r="J21" s="29"/>
      <c r="K21" s="29"/>
      <c r="L21" s="6"/>
      <c r="M21" s="29"/>
      <c r="N21" s="29"/>
      <c r="O21" s="29"/>
      <c r="P21" s="29"/>
      <c r="Q21" s="29"/>
      <c r="R21" s="29"/>
      <c r="S21" s="29"/>
      <c r="T21" s="6"/>
      <c r="U21" s="6"/>
      <c r="V21" s="6"/>
      <c r="W21" s="126"/>
      <c r="X21" s="6"/>
      <c r="Y21" s="6"/>
      <c r="Z21" s="8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1:45" ht="12.75">
      <c r="A22" s="22"/>
      <c r="B22" s="6"/>
      <c r="C22" s="6"/>
      <c r="D22" s="6"/>
      <c r="E22" s="29">
        <f>SUM(G22:G22)</f>
        <v>109.4367825</v>
      </c>
      <c r="F22" s="6" t="s">
        <v>67</v>
      </c>
      <c r="G22" s="29">
        <f>2272500*B200</f>
        <v>109.4367825</v>
      </c>
      <c r="H22" s="6"/>
      <c r="I22" s="29"/>
      <c r="J22" s="29"/>
      <c r="K22" s="29"/>
      <c r="L22" s="6"/>
      <c r="M22" s="29"/>
      <c r="N22" s="29"/>
      <c r="O22" s="29"/>
      <c r="P22" s="29"/>
      <c r="Q22" s="29"/>
      <c r="R22" s="29"/>
      <c r="S22" s="29"/>
      <c r="T22" s="6"/>
      <c r="U22" s="6"/>
      <c r="V22" s="6"/>
      <c r="W22" s="126"/>
      <c r="X22" s="6"/>
      <c r="Y22" s="6"/>
      <c r="Z22" s="8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1:45" ht="12.75">
      <c r="A23" s="42" t="s">
        <v>29</v>
      </c>
      <c r="B23" s="55">
        <v>36503</v>
      </c>
      <c r="C23" s="9" t="s">
        <v>46</v>
      </c>
      <c r="D23" s="28">
        <f>1500000000*B202</f>
        <v>1500</v>
      </c>
      <c r="E23" s="28"/>
      <c r="F23" s="9" t="s">
        <v>66</v>
      </c>
      <c r="G23" s="6"/>
      <c r="H23" s="28">
        <f>1500000000*B202</f>
        <v>1500</v>
      </c>
      <c r="I23" s="28"/>
      <c r="J23" s="28"/>
      <c r="K23" s="28"/>
      <c r="L23" s="9"/>
      <c r="M23" s="28"/>
      <c r="N23" s="28"/>
      <c r="O23" s="28"/>
      <c r="P23" s="28"/>
      <c r="Q23" s="28"/>
      <c r="R23" s="28"/>
      <c r="S23" s="28"/>
      <c r="T23" s="6"/>
      <c r="U23" s="6"/>
      <c r="V23" s="6"/>
      <c r="W23" s="126"/>
      <c r="X23" s="6"/>
      <c r="Y23" s="6"/>
      <c r="Z23" s="8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45" ht="12.75">
      <c r="A24" s="52"/>
      <c r="B24" s="53"/>
      <c r="C24" s="53"/>
      <c r="D24" s="53"/>
      <c r="E24" s="54">
        <f>SUM(G24:H24)</f>
        <v>408.71999999999997</v>
      </c>
      <c r="F24" s="53" t="s">
        <v>67</v>
      </c>
      <c r="G24" s="54">
        <f>204360000*B202</f>
        <v>204.35999999999999</v>
      </c>
      <c r="H24" s="54">
        <f>204360000*B202</f>
        <v>204.35999999999999</v>
      </c>
      <c r="I24" s="6"/>
      <c r="J24" s="54"/>
      <c r="K24" s="29"/>
      <c r="L24" s="6"/>
      <c r="M24" s="29"/>
      <c r="N24" s="29"/>
      <c r="O24" s="29"/>
      <c r="P24" s="29"/>
      <c r="Q24" s="29"/>
      <c r="R24" s="29"/>
      <c r="S24" s="29"/>
      <c r="T24" s="6"/>
      <c r="U24" s="6"/>
      <c r="V24" s="6"/>
      <c r="W24" s="126"/>
      <c r="X24" s="6"/>
      <c r="Y24" s="6"/>
      <c r="Z24" s="8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1:45" ht="12.75">
      <c r="A25" s="22" t="s">
        <v>30</v>
      </c>
      <c r="B25" s="7">
        <v>36643</v>
      </c>
      <c r="C25" s="9" t="s">
        <v>46</v>
      </c>
      <c r="D25" s="29">
        <f>SUM(G25:N25)</f>
        <v>1000</v>
      </c>
      <c r="E25" s="6"/>
      <c r="F25" s="6" t="s">
        <v>66</v>
      </c>
      <c r="G25" s="29"/>
      <c r="H25" s="29">
        <f>250000000*B202</f>
        <v>250</v>
      </c>
      <c r="I25" s="29">
        <f>250000000*B202</f>
        <v>250</v>
      </c>
      <c r="J25" s="29">
        <f>500000000*B202</f>
        <v>500</v>
      </c>
      <c r="K25" s="29"/>
      <c r="L25" s="6"/>
      <c r="M25" s="29"/>
      <c r="N25" s="29"/>
      <c r="O25" s="29"/>
      <c r="P25" s="29"/>
      <c r="Q25" s="29"/>
      <c r="R25" s="29"/>
      <c r="S25" s="29"/>
      <c r="T25" s="6"/>
      <c r="U25" s="6"/>
      <c r="V25" s="6"/>
      <c r="W25" s="126"/>
      <c r="X25" s="6"/>
      <c r="Y25" s="6"/>
      <c r="Z25" s="8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1:45" ht="12.75">
      <c r="A26" s="22"/>
      <c r="B26" s="6"/>
      <c r="C26" s="6"/>
      <c r="D26" s="6"/>
      <c r="E26" s="29">
        <f>SUM(G26:N26)</f>
        <v>250</v>
      </c>
      <c r="F26" s="6" t="s">
        <v>67</v>
      </c>
      <c r="G26" s="29">
        <f>100000000*B202</f>
        <v>100</v>
      </c>
      <c r="H26" s="29">
        <f>75000000*B202</f>
        <v>75</v>
      </c>
      <c r="I26" s="29">
        <f>62500000*B202</f>
        <v>62.5</v>
      </c>
      <c r="J26" s="29">
        <f>12500000*B202</f>
        <v>12.5</v>
      </c>
      <c r="K26" s="28"/>
      <c r="L26" s="9"/>
      <c r="M26" s="28"/>
      <c r="N26" s="28"/>
      <c r="O26" s="28"/>
      <c r="P26" s="28"/>
      <c r="Q26" s="28"/>
      <c r="R26" s="28"/>
      <c r="S26" s="28"/>
      <c r="T26" s="6"/>
      <c r="U26" s="6"/>
      <c r="V26" s="6"/>
      <c r="W26" s="126"/>
      <c r="X26" s="6"/>
      <c r="Y26" s="6"/>
      <c r="Z26" s="8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1:45" ht="12.75">
      <c r="A27" s="22" t="s">
        <v>30</v>
      </c>
      <c r="B27" s="7">
        <v>36672</v>
      </c>
      <c r="C27" s="9" t="s">
        <v>46</v>
      </c>
      <c r="D27" s="29">
        <f>SUM(G27:N27)</f>
        <v>3000</v>
      </c>
      <c r="E27" s="6"/>
      <c r="F27" s="6" t="s">
        <v>66</v>
      </c>
      <c r="G27" s="29"/>
      <c r="H27" s="29"/>
      <c r="I27" s="29"/>
      <c r="J27" s="29">
        <f>3000000000*B202</f>
        <v>3000</v>
      </c>
      <c r="K27" s="29"/>
      <c r="L27" s="6"/>
      <c r="M27" s="29"/>
      <c r="N27" s="29"/>
      <c r="O27" s="29"/>
      <c r="P27" s="29"/>
      <c r="Q27" s="29"/>
      <c r="R27" s="29"/>
      <c r="S27" s="29"/>
      <c r="T27" s="6"/>
      <c r="U27" s="6"/>
      <c r="V27" s="6"/>
      <c r="W27" s="126"/>
      <c r="X27" s="6"/>
      <c r="Y27" s="6"/>
      <c r="Z27" s="8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1:45" ht="12.75">
      <c r="A28" s="22"/>
      <c r="B28" s="6"/>
      <c r="C28" s="6"/>
      <c r="D28" s="6"/>
      <c r="E28" s="29">
        <f>SUM(G28:N28)</f>
        <v>1025</v>
      </c>
      <c r="F28" s="6" t="s">
        <v>67</v>
      </c>
      <c r="G28" s="29">
        <f>300000000*B202</f>
        <v>300</v>
      </c>
      <c r="H28" s="29">
        <f>300000000*B202</f>
        <v>300</v>
      </c>
      <c r="I28" s="29">
        <f>300000000*B202</f>
        <v>300</v>
      </c>
      <c r="J28" s="29">
        <f>125000000*B202</f>
        <v>125</v>
      </c>
      <c r="K28" s="29"/>
      <c r="L28" s="6"/>
      <c r="M28" s="29"/>
      <c r="N28" s="29"/>
      <c r="O28" s="29"/>
      <c r="P28" s="29"/>
      <c r="Q28" s="29"/>
      <c r="R28" s="29"/>
      <c r="S28" s="29"/>
      <c r="T28" s="6"/>
      <c r="U28" s="6"/>
      <c r="V28" s="6"/>
      <c r="W28" s="126"/>
      <c r="X28" s="6"/>
      <c r="Y28" s="6"/>
      <c r="Z28" s="8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1:45" ht="12.75">
      <c r="A29" s="22" t="s">
        <v>16</v>
      </c>
      <c r="B29" s="7">
        <v>36717</v>
      </c>
      <c r="C29" s="9" t="s">
        <v>46</v>
      </c>
      <c r="D29" s="29">
        <f>SUM(G29:N29)</f>
        <v>4100</v>
      </c>
      <c r="E29" s="6"/>
      <c r="F29" s="6" t="s">
        <v>66</v>
      </c>
      <c r="G29" s="29"/>
      <c r="H29" s="29"/>
      <c r="I29" s="29"/>
      <c r="J29" s="29">
        <f>4100000000*B202</f>
        <v>4100</v>
      </c>
      <c r="K29" s="28"/>
      <c r="L29" s="9"/>
      <c r="M29" s="28"/>
      <c r="N29" s="28"/>
      <c r="O29" s="28"/>
      <c r="P29" s="28"/>
      <c r="Q29" s="28"/>
      <c r="R29" s="28"/>
      <c r="S29" s="28"/>
      <c r="T29" s="6"/>
      <c r="U29" s="6"/>
      <c r="V29" s="6"/>
      <c r="W29" s="126"/>
      <c r="X29" s="6"/>
      <c r="Y29" s="6"/>
      <c r="Z29" s="8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</row>
    <row r="30" spans="1:56" ht="12.75">
      <c r="A30" s="22"/>
      <c r="B30" s="6"/>
      <c r="C30" s="6"/>
      <c r="D30" s="6"/>
      <c r="E30" s="29">
        <f>SUM(G30:N30)</f>
        <v>1680.3999999999999</v>
      </c>
      <c r="F30" s="6" t="s">
        <v>67</v>
      </c>
      <c r="G30" s="29">
        <f>479700000*B202</f>
        <v>479.7</v>
      </c>
      <c r="H30" s="29">
        <f>479700000*B202</f>
        <v>479.7</v>
      </c>
      <c r="I30" s="29">
        <f>479700000*B202</f>
        <v>479.7</v>
      </c>
      <c r="J30" s="29">
        <f>241300000*B202</f>
        <v>241.29999999999998</v>
      </c>
      <c r="K30" s="29"/>
      <c r="L30" s="6"/>
      <c r="M30" s="29"/>
      <c r="N30" s="29"/>
      <c r="O30" s="29"/>
      <c r="P30" s="29"/>
      <c r="Q30" s="29"/>
      <c r="R30" s="29"/>
      <c r="S30" s="29"/>
      <c r="T30" s="6"/>
      <c r="U30" s="6"/>
      <c r="V30" s="6"/>
      <c r="W30" s="126"/>
      <c r="X30" s="6"/>
      <c r="Y30" s="6"/>
      <c r="Z30" s="8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BD30" s="50"/>
    </row>
    <row r="31" spans="1:45" ht="12.75">
      <c r="A31" s="22" t="s">
        <v>45</v>
      </c>
      <c r="B31" s="7">
        <v>36993</v>
      </c>
      <c r="C31" s="9" t="s">
        <v>46</v>
      </c>
      <c r="D31" s="29">
        <f>SUM(G31:N31)</f>
        <v>3000</v>
      </c>
      <c r="E31" s="54"/>
      <c r="F31" s="6" t="s">
        <v>66</v>
      </c>
      <c r="G31" s="28"/>
      <c r="H31" s="28"/>
      <c r="I31" s="28"/>
      <c r="J31" s="28"/>
      <c r="K31" s="28">
        <f>3000000000*B202</f>
        <v>3000</v>
      </c>
      <c r="L31" s="9"/>
      <c r="M31" s="28"/>
      <c r="N31" s="28"/>
      <c r="O31" s="28"/>
      <c r="P31" s="28"/>
      <c r="Q31" s="28"/>
      <c r="R31" s="28"/>
      <c r="S31" s="28"/>
      <c r="T31" s="9"/>
      <c r="U31" s="9"/>
      <c r="V31" s="9"/>
      <c r="W31" s="133"/>
      <c r="X31" s="6"/>
      <c r="Y31" s="6"/>
      <c r="Z31" s="8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</row>
    <row r="32" spans="1:45" ht="12.75">
      <c r="A32" s="52"/>
      <c r="B32" s="53"/>
      <c r="C32" s="53"/>
      <c r="D32" s="53"/>
      <c r="E32" s="29">
        <f>SUM(G32:N32)</f>
        <v>1123.6999999999998</v>
      </c>
      <c r="F32" s="6" t="s">
        <v>67</v>
      </c>
      <c r="G32" s="54">
        <f>267900000*B202</f>
        <v>267.9</v>
      </c>
      <c r="H32" s="54">
        <f>267900000*B202</f>
        <v>267.9</v>
      </c>
      <c r="I32" s="54">
        <f>267900000*B202</f>
        <v>267.9</v>
      </c>
      <c r="J32" s="54">
        <f>267900000*B202</f>
        <v>267.9</v>
      </c>
      <c r="K32" s="54">
        <f>52100000*B202</f>
        <v>52.099999999999994</v>
      </c>
      <c r="L32" s="53"/>
      <c r="M32" s="54"/>
      <c r="N32" s="54"/>
      <c r="O32" s="54"/>
      <c r="P32" s="54"/>
      <c r="Q32" s="54"/>
      <c r="R32" s="54"/>
      <c r="S32" s="54"/>
      <c r="T32" s="53"/>
      <c r="U32" s="53"/>
      <c r="V32" s="53"/>
      <c r="W32" s="119"/>
      <c r="X32" s="6"/>
      <c r="Y32" s="6"/>
      <c r="Z32" s="8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</row>
    <row r="33" spans="1:45" ht="12.75">
      <c r="A33" s="22" t="s">
        <v>52</v>
      </c>
      <c r="B33" s="7">
        <v>37253</v>
      </c>
      <c r="C33" s="6" t="s">
        <v>46</v>
      </c>
      <c r="D33" s="29">
        <f>SUM(G33:T33)</f>
        <v>6154.8449281700005</v>
      </c>
      <c r="E33" s="29"/>
      <c r="F33" s="6" t="s">
        <v>66</v>
      </c>
      <c r="G33" s="29">
        <f>153300000*B202</f>
        <v>153.29999999999998</v>
      </c>
      <c r="H33" s="29">
        <f>230000000*B202</f>
        <v>230</v>
      </c>
      <c r="I33" s="29">
        <f>230000000*B202</f>
        <v>230</v>
      </c>
      <c r="J33" s="29">
        <f>230000000*B202</f>
        <v>230</v>
      </c>
      <c r="K33" s="29">
        <f>230000000*B202</f>
        <v>230</v>
      </c>
      <c r="L33" s="29">
        <f>230000000*B202</f>
        <v>230</v>
      </c>
      <c r="M33" s="29">
        <f>230000000*B202</f>
        <v>230</v>
      </c>
      <c r="N33" s="29">
        <f>230000000*B202</f>
        <v>230</v>
      </c>
      <c r="O33" s="29">
        <f>230000000*B202</f>
        <v>230</v>
      </c>
      <c r="P33" s="29">
        <f>758000000*B202</f>
        <v>758</v>
      </c>
      <c r="Q33" s="29">
        <f>843000000*B202</f>
        <v>843</v>
      </c>
      <c r="R33" s="29">
        <f>911000000*B202</f>
        <v>911</v>
      </c>
      <c r="S33" s="29">
        <f>843000000*B202</f>
        <v>843</v>
      </c>
      <c r="T33" s="29">
        <f>806544928.17*B202</f>
        <v>806.5449281699999</v>
      </c>
      <c r="U33" s="6"/>
      <c r="V33" s="6"/>
      <c r="W33" s="126"/>
      <c r="X33" s="6"/>
      <c r="Y33" s="6"/>
      <c r="Z33" s="8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</row>
    <row r="34" spans="1:45" ht="12.75">
      <c r="A34" s="22" t="s">
        <v>53</v>
      </c>
      <c r="B34" s="6"/>
      <c r="C34" s="6"/>
      <c r="D34" s="6"/>
      <c r="E34" s="29">
        <f>SUM(G34:U34)</f>
        <v>6266.095721999999</v>
      </c>
      <c r="F34" s="6" t="s">
        <v>67</v>
      </c>
      <c r="G34" s="29">
        <f>639488388*B202</f>
        <v>639.488388</v>
      </c>
      <c r="H34" s="29">
        <f>623560518*B202</f>
        <v>623.560518</v>
      </c>
      <c r="I34" s="29">
        <f>599663518*B202</f>
        <v>599.663518</v>
      </c>
      <c r="J34" s="29">
        <f>575766518*B202</f>
        <v>575.766518</v>
      </c>
      <c r="K34" s="29">
        <f>551869518*B202</f>
        <v>551.869518</v>
      </c>
      <c r="L34" s="29">
        <f>527972518*B202</f>
        <v>527.9725179999999</v>
      </c>
      <c r="M34" s="29">
        <f>504073518*B202</f>
        <v>504.073518</v>
      </c>
      <c r="N34" s="29">
        <f>480178518*B202</f>
        <v>480.178518</v>
      </c>
      <c r="O34" s="29">
        <f>456281518*B202</f>
        <v>456.281518</v>
      </c>
      <c r="P34" s="29">
        <f>432384518*B202</f>
        <v>432.38451799999996</v>
      </c>
      <c r="Q34" s="29">
        <f>353628318*B202</f>
        <v>353.628318</v>
      </c>
      <c r="R34" s="29">
        <f>266040618*B202</f>
        <v>266.040618</v>
      </c>
      <c r="S34" s="29">
        <f>171387718*B202</f>
        <v>171.38771799999998</v>
      </c>
      <c r="T34" s="29">
        <f>83800018*B202</f>
        <v>83.800018</v>
      </c>
      <c r="U34" s="6"/>
      <c r="V34" s="6"/>
      <c r="W34" s="126"/>
      <c r="X34" s="6"/>
      <c r="Y34" s="6"/>
      <c r="Z34" s="8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5" ht="12.75">
      <c r="A35" s="22" t="s">
        <v>52</v>
      </c>
      <c r="B35" s="7">
        <v>37253</v>
      </c>
      <c r="C35" s="6" t="s">
        <v>46</v>
      </c>
      <c r="D35" s="29">
        <f>SUM(G35:T35)</f>
        <v>4427.29617882</v>
      </c>
      <c r="E35" s="29"/>
      <c r="F35" s="6" t="s">
        <v>66</v>
      </c>
      <c r="G35" s="29">
        <f>250000000*B202</f>
        <v>250</v>
      </c>
      <c r="H35" s="29">
        <f>250000000*B202</f>
        <v>250</v>
      </c>
      <c r="I35" s="29">
        <f>300000000*B202</f>
        <v>300</v>
      </c>
      <c r="J35" s="29">
        <f>300000000*B202</f>
        <v>300</v>
      </c>
      <c r="K35" s="29">
        <f>600000000*B202</f>
        <v>600</v>
      </c>
      <c r="L35" s="29">
        <f>700000000*B202</f>
        <v>700</v>
      </c>
      <c r="M35" s="29">
        <f>800000000*B202</f>
        <v>800</v>
      </c>
      <c r="N35" s="29">
        <f>600000000*B202</f>
        <v>600</v>
      </c>
      <c r="O35" s="29">
        <f>627296178.82*B202</f>
        <v>627.29617882</v>
      </c>
      <c r="P35" s="29"/>
      <c r="Q35" s="29"/>
      <c r="R35" s="29"/>
      <c r="S35" s="29"/>
      <c r="T35" s="6"/>
      <c r="U35" s="6"/>
      <c r="V35" s="6"/>
      <c r="W35" s="126"/>
      <c r="X35" s="6"/>
      <c r="Y35" s="6"/>
      <c r="Z35" s="8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ht="12.75">
      <c r="A36" s="52" t="s">
        <v>54</v>
      </c>
      <c r="B36" s="53"/>
      <c r="C36" s="53"/>
      <c r="D36" s="53"/>
      <c r="E36" s="28">
        <f>SUM(G36:U36)</f>
        <v>3037.495475</v>
      </c>
      <c r="F36" s="6" t="s">
        <v>67</v>
      </c>
      <c r="G36" s="29">
        <f>515337275*B202</f>
        <v>515.337275</v>
      </c>
      <c r="H36" s="29">
        <f>486237275*B202</f>
        <v>486.23727499999995</v>
      </c>
      <c r="I36" s="29">
        <f>457137275*B202</f>
        <v>457.137275</v>
      </c>
      <c r="J36" s="29">
        <f>422217275*B202</f>
        <v>422.217275</v>
      </c>
      <c r="K36" s="29">
        <f>387257275*B202</f>
        <v>387.257275</v>
      </c>
      <c r="L36" s="29">
        <f>317457275*B202</f>
        <v>317.457275</v>
      </c>
      <c r="M36" s="29">
        <f>235977275*B202</f>
        <v>235.977275</v>
      </c>
      <c r="N36" s="29">
        <f>142857275*B202</f>
        <v>142.857275</v>
      </c>
      <c r="O36" s="29">
        <f>73017275*B202</f>
        <v>73.017275</v>
      </c>
      <c r="P36" s="29"/>
      <c r="Q36" s="29"/>
      <c r="R36" s="29"/>
      <c r="S36" s="29"/>
      <c r="T36" s="6"/>
      <c r="U36" s="6"/>
      <c r="V36" s="6"/>
      <c r="W36" s="6"/>
      <c r="X36" s="6"/>
      <c r="Y36" s="6"/>
      <c r="Z36" s="8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ht="13.5" thickBot="1">
      <c r="A37" s="52"/>
      <c r="B37" s="53"/>
      <c r="C37" s="53"/>
      <c r="D37" s="53"/>
      <c r="E37" s="54"/>
      <c r="F37" s="60"/>
      <c r="G37" s="54"/>
      <c r="H37" s="54"/>
      <c r="I37" s="54"/>
      <c r="J37" s="54"/>
      <c r="K37" s="54"/>
      <c r="L37" s="53"/>
      <c r="M37" s="54"/>
      <c r="N37" s="54"/>
      <c r="O37" s="54"/>
      <c r="P37" s="54"/>
      <c r="Q37" s="54"/>
      <c r="R37" s="54"/>
      <c r="S37" s="54"/>
      <c r="T37" s="53"/>
      <c r="U37" s="53"/>
      <c r="V37" s="53"/>
      <c r="W37" s="119"/>
      <c r="X37" s="12"/>
      <c r="Y37" s="12"/>
      <c r="Z37" s="85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s="2" customFormat="1" ht="14.25" thickBot="1" thickTop="1">
      <c r="A38" s="165" t="s">
        <v>68</v>
      </c>
      <c r="B38" s="14"/>
      <c r="C38" s="14"/>
      <c r="D38" s="31">
        <f>SUM(D7:D36)</f>
        <v>42928.77979498117</v>
      </c>
      <c r="E38" s="31">
        <f>SUM(E7:E36)</f>
        <v>18033.06485753954</v>
      </c>
      <c r="F38" s="13"/>
      <c r="G38" s="31">
        <f>SUM(G7:G36)</f>
        <v>8594.132528544205</v>
      </c>
      <c r="H38" s="31">
        <f aca="true" t="shared" si="0" ref="H38:W38">SUM(H7:H36)</f>
        <v>8752.49268147928</v>
      </c>
      <c r="I38" s="31">
        <f t="shared" si="0"/>
        <v>6757.49444396989</v>
      </c>
      <c r="J38" s="31">
        <f t="shared" si="0"/>
        <v>13349.90619020378</v>
      </c>
      <c r="K38" s="31">
        <f t="shared" si="0"/>
        <v>8163.748172842221</v>
      </c>
      <c r="L38" s="31">
        <f t="shared" si="0"/>
        <v>4052.44446133811</v>
      </c>
      <c r="M38" s="31">
        <f t="shared" si="0"/>
        <v>2884.96542693056</v>
      </c>
      <c r="N38" s="31">
        <f t="shared" si="0"/>
        <v>1551.27965722267</v>
      </c>
      <c r="O38" s="31">
        <f t="shared" si="0"/>
        <v>1386.59497182</v>
      </c>
      <c r="P38" s="31">
        <f t="shared" si="0"/>
        <v>1190.3845179999998</v>
      </c>
      <c r="Q38" s="31">
        <f t="shared" si="0"/>
        <v>1196.628318</v>
      </c>
      <c r="R38" s="31">
        <f t="shared" si="0"/>
        <v>1177.040618</v>
      </c>
      <c r="S38" s="31">
        <f t="shared" si="0"/>
        <v>1014.387718</v>
      </c>
      <c r="T38" s="31">
        <f t="shared" si="0"/>
        <v>890.34494617</v>
      </c>
      <c r="U38" s="31">
        <f t="shared" si="0"/>
        <v>0</v>
      </c>
      <c r="V38" s="31">
        <f t="shared" si="0"/>
        <v>0</v>
      </c>
      <c r="W38" s="128">
        <f t="shared" si="0"/>
        <v>0</v>
      </c>
      <c r="X38" s="24"/>
      <c r="Y38" s="24"/>
      <c r="Z38" s="86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</row>
    <row r="39" spans="1:45" ht="13.5" thickBot="1">
      <c r="A39" s="78"/>
      <c r="B39" s="13"/>
      <c r="C39" s="13"/>
      <c r="D39" s="13"/>
      <c r="E39" s="13"/>
      <c r="F39" s="16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s="1" customFormat="1" ht="12.75" customHeight="1">
      <c r="A40" s="159" t="s">
        <v>58</v>
      </c>
      <c r="B40" s="15" t="s">
        <v>59</v>
      </c>
      <c r="C40" s="16" t="s">
        <v>60</v>
      </c>
      <c r="D40" s="15" t="s">
        <v>61</v>
      </c>
      <c r="E40" s="17"/>
      <c r="F40" s="16"/>
      <c r="G40" s="18"/>
      <c r="H40" s="18"/>
      <c r="I40" s="18" t="s">
        <v>62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81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1:45" s="1" customFormat="1" ht="12.75">
      <c r="A41" s="19"/>
      <c r="B41" s="3" t="s">
        <v>63</v>
      </c>
      <c r="C41" s="8"/>
      <c r="D41" s="135" t="s">
        <v>64</v>
      </c>
      <c r="E41" s="160"/>
      <c r="F41" s="8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94"/>
      <c r="T41" s="94"/>
      <c r="U41" s="94"/>
      <c r="V41" s="94"/>
      <c r="W41" s="94"/>
      <c r="X41" s="94"/>
      <c r="Y41" s="94"/>
      <c r="Z41" s="95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1:45" ht="13.5" thickBot="1">
      <c r="A42" s="20"/>
      <c r="B42" s="129" t="s">
        <v>65</v>
      </c>
      <c r="C42" s="11"/>
      <c r="D42" s="12" t="s">
        <v>66</v>
      </c>
      <c r="E42" s="12" t="s">
        <v>67</v>
      </c>
      <c r="F42" s="11"/>
      <c r="G42" s="65">
        <v>2002</v>
      </c>
      <c r="H42" s="65">
        <v>2003</v>
      </c>
      <c r="I42" s="65">
        <v>2004</v>
      </c>
      <c r="J42" s="65">
        <v>2005</v>
      </c>
      <c r="K42" s="65">
        <v>2006</v>
      </c>
      <c r="L42" s="65">
        <v>2007</v>
      </c>
      <c r="M42" s="65">
        <v>2008</v>
      </c>
      <c r="N42" s="65">
        <v>2009</v>
      </c>
      <c r="O42" s="65">
        <v>2010</v>
      </c>
      <c r="P42" s="65">
        <v>2011</v>
      </c>
      <c r="Q42" s="65">
        <v>2012</v>
      </c>
      <c r="R42" s="65">
        <v>2013</v>
      </c>
      <c r="S42" s="70">
        <v>2014</v>
      </c>
      <c r="T42" s="66">
        <v>2015</v>
      </c>
      <c r="U42" s="66">
        <v>2016</v>
      </c>
      <c r="V42" s="66">
        <v>2017</v>
      </c>
      <c r="W42" s="66">
        <v>2018</v>
      </c>
      <c r="X42" s="66">
        <v>2019</v>
      </c>
      <c r="Y42" s="66">
        <v>2020</v>
      </c>
      <c r="Z42" s="161">
        <v>2021</v>
      </c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1:45" ht="13.5" thickTop="1">
      <c r="A43" s="21" t="s">
        <v>49</v>
      </c>
      <c r="B43" s="9"/>
      <c r="C43" s="9"/>
      <c r="D43" s="9"/>
      <c r="E43" s="9"/>
      <c r="F43" s="6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9"/>
      <c r="U43" s="9"/>
      <c r="V43" s="9"/>
      <c r="W43" s="133"/>
      <c r="X43" s="9"/>
      <c r="Y43" s="9"/>
      <c r="Z43" s="82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1:45" ht="12.75">
      <c r="A44" s="22" t="s">
        <v>7</v>
      </c>
      <c r="B44" s="7">
        <v>35415</v>
      </c>
      <c r="C44" s="6" t="s">
        <v>18</v>
      </c>
      <c r="D44" s="29">
        <f>SUM(K44)</f>
        <v>9631.4</v>
      </c>
      <c r="E44" s="6"/>
      <c r="F44" s="6" t="s">
        <v>66</v>
      </c>
      <c r="G44" s="29"/>
      <c r="H44" s="29"/>
      <c r="I44" s="29"/>
      <c r="J44" s="29"/>
      <c r="K44" s="29">
        <f>200000000*B200</f>
        <v>9631.4</v>
      </c>
      <c r="L44" s="6"/>
      <c r="M44" s="29"/>
      <c r="N44" s="29"/>
      <c r="O44" s="29"/>
      <c r="P44" s="29"/>
      <c r="Q44" s="29"/>
      <c r="R44" s="29"/>
      <c r="S44" s="29"/>
      <c r="T44" s="6"/>
      <c r="U44" s="6"/>
      <c r="V44" s="6"/>
      <c r="W44" s="126"/>
      <c r="X44" s="6"/>
      <c r="Y44" s="6"/>
      <c r="Z44" s="8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1:45" ht="12.75">
      <c r="A45" s="22"/>
      <c r="B45" s="6"/>
      <c r="C45" s="6"/>
      <c r="D45" s="6"/>
      <c r="E45" s="29">
        <f>SUM(G45:K45)</f>
        <v>3491.3824999999997</v>
      </c>
      <c r="F45" s="6" t="s">
        <v>67</v>
      </c>
      <c r="G45" s="29">
        <f>14500000*B200</f>
        <v>698.2764999999999</v>
      </c>
      <c r="H45" s="29">
        <f>14500000*B200</f>
        <v>698.2764999999999</v>
      </c>
      <c r="I45" s="29">
        <f>14500000*B200</f>
        <v>698.2764999999999</v>
      </c>
      <c r="J45" s="29">
        <f>14500000*B200</f>
        <v>698.2764999999999</v>
      </c>
      <c r="K45" s="29">
        <f>14500000*B200</f>
        <v>698.2764999999999</v>
      </c>
      <c r="L45" s="6"/>
      <c r="M45" s="29"/>
      <c r="N45" s="29"/>
      <c r="O45" s="29"/>
      <c r="P45" s="29"/>
      <c r="Q45" s="29"/>
      <c r="R45" s="29"/>
      <c r="S45" s="29"/>
      <c r="T45" s="6"/>
      <c r="U45" s="6"/>
      <c r="V45" s="6"/>
      <c r="W45" s="126"/>
      <c r="X45" s="6"/>
      <c r="Y45" s="6"/>
      <c r="Z45" s="8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1:45" ht="12.75">
      <c r="A46" s="22" t="s">
        <v>8</v>
      </c>
      <c r="B46" s="7">
        <v>36370</v>
      </c>
      <c r="C46" s="6" t="s">
        <v>19</v>
      </c>
      <c r="D46" s="29">
        <f>SUM(G46)</f>
        <v>1684.92</v>
      </c>
      <c r="E46" s="6"/>
      <c r="F46" s="6" t="s">
        <v>66</v>
      </c>
      <c r="G46" s="29">
        <f>40000000*B201</f>
        <v>1684.92</v>
      </c>
      <c r="H46" s="6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6"/>
      <c r="U46" s="6"/>
      <c r="V46" s="6"/>
      <c r="W46" s="126"/>
      <c r="X46" s="6"/>
      <c r="Y46" s="6"/>
      <c r="Z46" s="8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45" ht="13.5" thickBot="1">
      <c r="A47" s="23"/>
      <c r="B47" s="12"/>
      <c r="C47" s="12"/>
      <c r="D47" s="12"/>
      <c r="E47" s="30">
        <f>SUM(G47:G47)</f>
        <v>154.465041</v>
      </c>
      <c r="F47" s="12" t="s">
        <v>67</v>
      </c>
      <c r="G47" s="30">
        <f>3667000*B201</f>
        <v>154.465041</v>
      </c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12"/>
      <c r="U47" s="12"/>
      <c r="V47" s="12"/>
      <c r="W47" s="127"/>
      <c r="X47" s="12"/>
      <c r="Y47" s="12"/>
      <c r="Z47" s="85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45" s="2" customFormat="1" ht="14.25" thickBot="1" thickTop="1">
      <c r="A48" s="165" t="s">
        <v>68</v>
      </c>
      <c r="B48" s="24"/>
      <c r="C48" s="24"/>
      <c r="D48" s="32">
        <f>SUM(D44:D47)</f>
        <v>11316.32</v>
      </c>
      <c r="E48" s="32">
        <f>SUM(E44:E47)</f>
        <v>3645.8475409999996</v>
      </c>
      <c r="F48" s="13"/>
      <c r="G48" s="32">
        <f>SUM(G44:G47)</f>
        <v>2537.661541</v>
      </c>
      <c r="H48" s="32">
        <f>SUM(H44:H47)</f>
        <v>698.2764999999999</v>
      </c>
      <c r="I48" s="32">
        <f>SUM(I44:I47)</f>
        <v>698.2764999999999</v>
      </c>
      <c r="J48" s="32">
        <f>SUM(J44:J47)</f>
        <v>698.2764999999999</v>
      </c>
      <c r="K48" s="32">
        <f>SUM(K44:K47)</f>
        <v>10329.6765</v>
      </c>
      <c r="L48" s="24"/>
      <c r="M48" s="24"/>
      <c r="N48" s="24"/>
      <c r="O48" s="24"/>
      <c r="P48" s="24"/>
      <c r="Q48" s="24"/>
      <c r="R48" s="24"/>
      <c r="S48" s="24"/>
      <c r="T48" s="14"/>
      <c r="U48" s="14"/>
      <c r="V48" s="14"/>
      <c r="W48" s="132"/>
      <c r="X48" s="24"/>
      <c r="Y48" s="24"/>
      <c r="Z48" s="86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</row>
    <row r="49" spans="1:45" ht="13.5" thickBot="1">
      <c r="A49" s="78"/>
      <c r="B49" s="13"/>
      <c r="C49" s="13"/>
      <c r="D49" s="13"/>
      <c r="E49" s="13"/>
      <c r="F49" s="16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51"/>
      <c r="T49" s="40"/>
      <c r="U49" s="40"/>
      <c r="V49" s="40"/>
      <c r="W49" s="40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1:45" s="1" customFormat="1" ht="12.75" customHeight="1">
      <c r="A50" s="159" t="s">
        <v>58</v>
      </c>
      <c r="B50" s="15" t="s">
        <v>59</v>
      </c>
      <c r="C50" s="16" t="s">
        <v>60</v>
      </c>
      <c r="D50" s="15" t="s">
        <v>61</v>
      </c>
      <c r="E50" s="17"/>
      <c r="F50" s="16"/>
      <c r="G50" s="18"/>
      <c r="H50" s="18"/>
      <c r="I50" s="18" t="s">
        <v>62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81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</row>
    <row r="51" spans="1:45" s="1" customFormat="1" ht="12.75">
      <c r="A51" s="19"/>
      <c r="B51" s="3" t="s">
        <v>63</v>
      </c>
      <c r="C51" s="8"/>
      <c r="D51" s="135" t="s">
        <v>64</v>
      </c>
      <c r="E51" s="160"/>
      <c r="F51" s="8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94"/>
      <c r="T51" s="94"/>
      <c r="U51" s="94"/>
      <c r="V51" s="94"/>
      <c r="W51" s="94"/>
      <c r="X51" s="94"/>
      <c r="Y51" s="94"/>
      <c r="Z51" s="95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</row>
    <row r="52" spans="1:45" ht="13.5" thickBot="1">
      <c r="A52" s="20"/>
      <c r="B52" s="129" t="s">
        <v>65</v>
      </c>
      <c r="C52" s="11"/>
      <c r="D52" s="12" t="s">
        <v>66</v>
      </c>
      <c r="E52" s="12" t="s">
        <v>67</v>
      </c>
      <c r="F52" s="11"/>
      <c r="G52" s="65">
        <v>2002</v>
      </c>
      <c r="H52" s="65">
        <v>2003</v>
      </c>
      <c r="I52" s="65">
        <v>2004</v>
      </c>
      <c r="J52" s="65">
        <v>2005</v>
      </c>
      <c r="K52" s="65">
        <v>2006</v>
      </c>
      <c r="L52" s="65">
        <v>2007</v>
      </c>
      <c r="M52" s="65">
        <v>2008</v>
      </c>
      <c r="N52" s="65">
        <v>2009</v>
      </c>
      <c r="O52" s="65">
        <v>2010</v>
      </c>
      <c r="P52" s="65">
        <v>2011</v>
      </c>
      <c r="Q52" s="65">
        <v>2012</v>
      </c>
      <c r="R52" s="65">
        <v>2013</v>
      </c>
      <c r="S52" s="70">
        <v>2014</v>
      </c>
      <c r="T52" s="66">
        <v>2015</v>
      </c>
      <c r="U52" s="66">
        <v>2016</v>
      </c>
      <c r="V52" s="66">
        <v>2017</v>
      </c>
      <c r="W52" s="66">
        <v>2018</v>
      </c>
      <c r="X52" s="66">
        <v>2019</v>
      </c>
      <c r="Y52" s="66">
        <v>2020</v>
      </c>
      <c r="Z52" s="161">
        <v>2021</v>
      </c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5" ht="13.5" thickTop="1">
      <c r="A53" s="21" t="s">
        <v>48</v>
      </c>
      <c r="B53" s="9"/>
      <c r="C53" s="9"/>
      <c r="D53" s="9"/>
      <c r="E53" s="9"/>
      <c r="F53" s="6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6"/>
      <c r="U53" s="6"/>
      <c r="V53" s="6"/>
      <c r="W53" s="126"/>
      <c r="X53" s="9"/>
      <c r="Y53" s="9"/>
      <c r="Z53" s="82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</row>
    <row r="54" spans="1:45" ht="12.75">
      <c r="A54" s="22" t="s">
        <v>9</v>
      </c>
      <c r="B54" s="7">
        <v>34150</v>
      </c>
      <c r="C54" s="6" t="s">
        <v>19</v>
      </c>
      <c r="D54" s="29">
        <f>SUM(G54:M54)</f>
        <v>410.81894166204</v>
      </c>
      <c r="E54" s="6"/>
      <c r="F54" s="6" t="s">
        <v>66</v>
      </c>
      <c r="G54" s="29">
        <f>1500437.15*B201</f>
        <v>63.20291406945</v>
      </c>
      <c r="H54" s="29">
        <f>1500437.15*B201</f>
        <v>63.20291406945</v>
      </c>
      <c r="I54" s="29">
        <f>1500437.15*B201</f>
        <v>63.20291406945</v>
      </c>
      <c r="J54" s="29">
        <f>1500437.15*B201</f>
        <v>63.20291406945</v>
      </c>
      <c r="K54" s="29">
        <f>1500437.15*B201</f>
        <v>63.20291406945</v>
      </c>
      <c r="L54" s="29">
        <f>1500437.15*B201</f>
        <v>63.20291406945</v>
      </c>
      <c r="M54" s="29">
        <f>750218.58*B201</f>
        <v>31.60145724534</v>
      </c>
      <c r="N54" s="29"/>
      <c r="O54" s="29"/>
      <c r="P54" s="29"/>
      <c r="Q54" s="29"/>
      <c r="R54" s="29"/>
      <c r="S54" s="29"/>
      <c r="T54" s="6"/>
      <c r="U54" s="6"/>
      <c r="V54" s="6"/>
      <c r="W54" s="126"/>
      <c r="X54" s="6"/>
      <c r="Y54" s="6"/>
      <c r="Z54" s="8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</row>
    <row r="55" spans="1:45" ht="12.75">
      <c r="A55" s="22"/>
      <c r="B55" s="6"/>
      <c r="C55" s="6"/>
      <c r="D55" s="6"/>
      <c r="E55" s="29">
        <f>SUM(G55:M55)</f>
        <v>90.54216946038001</v>
      </c>
      <c r="F55" s="6" t="s">
        <v>67</v>
      </c>
      <c r="G55" s="29">
        <f>600767.97*B201</f>
        <v>25.30614920031</v>
      </c>
      <c r="H55" s="29">
        <f>504645.09*B201</f>
        <v>21.257165126070003</v>
      </c>
      <c r="I55" s="29">
        <f>408522.2*B201</f>
        <v>17.2081806306</v>
      </c>
      <c r="J55" s="29">
        <f>312399.34*B201</f>
        <v>13.159197398820002</v>
      </c>
      <c r="K55" s="29">
        <f>216276.46*B201</f>
        <v>9.11021332458</v>
      </c>
      <c r="L55" s="29">
        <f>96122.87*B201</f>
        <v>4.0489836530100005</v>
      </c>
      <c r="M55" s="29">
        <f>10737.13*B201</f>
        <v>0.45228012699</v>
      </c>
      <c r="N55" s="29"/>
      <c r="O55" s="29"/>
      <c r="P55" s="29"/>
      <c r="Q55" s="29"/>
      <c r="R55" s="29"/>
      <c r="S55" s="29"/>
      <c r="T55" s="6"/>
      <c r="U55" s="6"/>
      <c r="V55" s="6"/>
      <c r="W55" s="126"/>
      <c r="X55" s="6"/>
      <c r="Y55" s="6"/>
      <c r="Z55" s="8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</row>
    <row r="56" spans="1:45" ht="12.75">
      <c r="A56" s="22" t="s">
        <v>10</v>
      </c>
      <c r="B56" s="7">
        <v>34470</v>
      </c>
      <c r="C56" s="6" t="s">
        <v>18</v>
      </c>
      <c r="D56" s="29">
        <f>SUM(G56:O56)</f>
        <v>1876.7215831430003</v>
      </c>
      <c r="E56" s="6"/>
      <c r="F56" s="6" t="s">
        <v>66</v>
      </c>
      <c r="G56" s="29">
        <f>3178700*B200</f>
        <v>153.0766559</v>
      </c>
      <c r="H56" s="29">
        <f>3417700*B200</f>
        <v>164.5861789</v>
      </c>
      <c r="I56" s="29">
        <f>3674700*B200</f>
        <v>176.9625279</v>
      </c>
      <c r="J56" s="29">
        <f>3958700*B200</f>
        <v>190.6391159</v>
      </c>
      <c r="K56" s="29">
        <f>4251800*B200</f>
        <v>204.7539326</v>
      </c>
      <c r="L56" s="29">
        <f>4576500*B200</f>
        <v>220.3905105</v>
      </c>
      <c r="M56" s="29">
        <f>4923600*B200</f>
        <v>237.1058052</v>
      </c>
      <c r="N56" s="29">
        <f>5293400*B200</f>
        <v>254.9142638</v>
      </c>
      <c r="O56" s="29">
        <f>5695799*B200</f>
        <v>274.292592443</v>
      </c>
      <c r="P56" s="6"/>
      <c r="Q56" s="29"/>
      <c r="R56" s="29"/>
      <c r="S56" s="29"/>
      <c r="T56" s="6"/>
      <c r="U56" s="6"/>
      <c r="V56" s="6"/>
      <c r="W56" s="126"/>
      <c r="X56" s="6"/>
      <c r="Y56" s="6"/>
      <c r="Z56" s="8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</row>
    <row r="57" spans="1:45" ht="12.75">
      <c r="A57" s="22"/>
      <c r="B57" s="6"/>
      <c r="C57" s="6"/>
      <c r="D57" s="6"/>
      <c r="E57" s="29">
        <f>SUM(G57:O57)</f>
        <v>532.72958895</v>
      </c>
      <c r="F57" s="6" t="s">
        <v>67</v>
      </c>
      <c r="G57" s="29">
        <f>2069946*B200</f>
        <v>99.682389522</v>
      </c>
      <c r="H57" s="29">
        <f>1894483*B200</f>
        <v>91.232617831</v>
      </c>
      <c r="I57" s="29">
        <f>1705823*B200</f>
        <v>82.147318211</v>
      </c>
      <c r="J57" s="29">
        <f>1502866*B200</f>
        <v>72.373517962</v>
      </c>
      <c r="K57" s="29">
        <f>1284394*B200</f>
        <v>61.852561858</v>
      </c>
      <c r="L57" s="29">
        <f>1049670*B200</f>
        <v>50.54895819</v>
      </c>
      <c r="M57" s="29">
        <f>796981*B200</f>
        <v>38.380214017</v>
      </c>
      <c r="N57" s="29">
        <f>525233*B200</f>
        <v>25.293645581</v>
      </c>
      <c r="O57" s="29">
        <f>232954*B200</f>
        <v>11.218365778</v>
      </c>
      <c r="P57" s="6"/>
      <c r="Q57" s="29"/>
      <c r="R57" s="29"/>
      <c r="S57" s="29"/>
      <c r="T57" s="6"/>
      <c r="U57" s="6"/>
      <c r="V57" s="6"/>
      <c r="W57" s="126"/>
      <c r="X57" s="6"/>
      <c r="Y57" s="6"/>
      <c r="Z57" s="8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</row>
    <row r="58" spans="1:45" ht="12.75">
      <c r="A58" s="22" t="s">
        <v>37</v>
      </c>
      <c r="B58" s="7">
        <v>34582</v>
      </c>
      <c r="C58" s="6" t="s">
        <v>19</v>
      </c>
      <c r="D58" s="29">
        <f>SUM(G58:N58)</f>
        <v>323.93765770032</v>
      </c>
      <c r="E58" s="6"/>
      <c r="F58" s="6" t="s">
        <v>66</v>
      </c>
      <c r="G58" s="29">
        <f>961284.98*B201</f>
        <v>40.49220721254</v>
      </c>
      <c r="H58" s="29">
        <f>961284.98*B201</f>
        <v>40.49220721254</v>
      </c>
      <c r="I58" s="29">
        <f>961284.98*B201</f>
        <v>40.49220721254</v>
      </c>
      <c r="J58" s="29">
        <f>961284.98*B201</f>
        <v>40.49220721254</v>
      </c>
      <c r="K58" s="29">
        <f>961284.98*B201</f>
        <v>40.49220721254</v>
      </c>
      <c r="L58" s="29">
        <f>961284.98*B201</f>
        <v>40.49220721254</v>
      </c>
      <c r="M58" s="29">
        <f>961284.98*B201</f>
        <v>40.49220721254</v>
      </c>
      <c r="N58" s="29">
        <f>961284.98*B201</f>
        <v>40.49220721254</v>
      </c>
      <c r="O58" s="6"/>
      <c r="P58" s="29"/>
      <c r="Q58" s="29"/>
      <c r="R58" s="29"/>
      <c r="S58" s="29"/>
      <c r="T58" s="6"/>
      <c r="U58" s="6"/>
      <c r="V58" s="6"/>
      <c r="W58" s="126"/>
      <c r="X58" s="6"/>
      <c r="Y58" s="6"/>
      <c r="Z58" s="8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</row>
    <row r="59" spans="1:45" ht="12.75">
      <c r="A59" s="22"/>
      <c r="B59" s="6"/>
      <c r="C59" s="6"/>
      <c r="D59" s="6"/>
      <c r="E59" s="29">
        <f>SUM(G59:N59)</f>
        <v>88.10847185484002</v>
      </c>
      <c r="F59" s="6" t="s">
        <v>67</v>
      </c>
      <c r="G59" s="29">
        <f>476524.03*B201</f>
        <v>20.07262171569</v>
      </c>
      <c r="H59" s="29">
        <f>415169.01*B201</f>
        <v>17.488164208230003</v>
      </c>
      <c r="I59" s="29">
        <f>353813.98*B201</f>
        <v>14.90370627954</v>
      </c>
      <c r="J59" s="29">
        <f>292458.96*B201</f>
        <v>12.319248772080002</v>
      </c>
      <c r="K59" s="29">
        <f>231103.93*B201</f>
        <v>9.73479084339</v>
      </c>
      <c r="L59" s="29">
        <f>169237.61*B201</f>
        <v>7.12879584603</v>
      </c>
      <c r="M59" s="29">
        <f>107371.29*B201</f>
        <v>4.52280084867</v>
      </c>
      <c r="N59" s="29">
        <f>46016.27*B201</f>
        <v>1.93834334121</v>
      </c>
      <c r="O59" s="6"/>
      <c r="P59" s="29"/>
      <c r="Q59" s="29"/>
      <c r="R59" s="29"/>
      <c r="S59" s="29"/>
      <c r="T59" s="6"/>
      <c r="U59" s="6"/>
      <c r="V59" s="6"/>
      <c r="W59" s="126"/>
      <c r="X59" s="6"/>
      <c r="Y59" s="6"/>
      <c r="Z59" s="8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</row>
    <row r="60" spans="1:45" ht="12.75">
      <c r="A60" s="22" t="s">
        <v>11</v>
      </c>
      <c r="B60" s="7">
        <v>34884</v>
      </c>
      <c r="C60" s="6" t="s">
        <v>19</v>
      </c>
      <c r="D60" s="29">
        <f>SUM(G60:G60)</f>
        <v>1.2688458552000002</v>
      </c>
      <c r="E60" s="6"/>
      <c r="F60" s="6" t="s">
        <v>66</v>
      </c>
      <c r="G60" s="29">
        <f>30122.4*B201</f>
        <v>1.2688458552000002</v>
      </c>
      <c r="H60" s="6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6"/>
      <c r="U60" s="6"/>
      <c r="V60" s="6"/>
      <c r="W60" s="126"/>
      <c r="X60" s="6"/>
      <c r="Y60" s="6"/>
      <c r="Z60" s="8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</row>
    <row r="61" spans="1:45" ht="13.5" thickBot="1">
      <c r="A61" s="23"/>
      <c r="B61" s="12"/>
      <c r="C61" s="12"/>
      <c r="D61" s="12"/>
      <c r="E61" s="30">
        <f>SUM(G61:G61)</f>
        <v>0.06338121441000001</v>
      </c>
      <c r="F61" s="12" t="s">
        <v>67</v>
      </c>
      <c r="G61" s="30">
        <f>1504.67*B201</f>
        <v>0.06338121441000001</v>
      </c>
      <c r="H61" s="12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12"/>
      <c r="U61" s="12"/>
      <c r="V61" s="12"/>
      <c r="W61" s="127"/>
      <c r="X61" s="12"/>
      <c r="Y61" s="12"/>
      <c r="Z61" s="85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</row>
    <row r="62" spans="1:45" s="2" customFormat="1" ht="14.25" thickBot="1" thickTop="1">
      <c r="A62" s="165" t="s">
        <v>68</v>
      </c>
      <c r="B62" s="14"/>
      <c r="C62" s="14"/>
      <c r="D62" s="31">
        <f>SUM(D54:D61)</f>
        <v>2612.7470283605603</v>
      </c>
      <c r="E62" s="31">
        <f>SUM(E54:E61)</f>
        <v>711.44361147963</v>
      </c>
      <c r="F62" s="166"/>
      <c r="G62" s="31">
        <f aca="true" t="shared" si="1" ref="G62:O62">SUM(G54:G61)</f>
        <v>403.16516468960003</v>
      </c>
      <c r="H62" s="31">
        <f t="shared" si="1"/>
        <v>398.25924734728994</v>
      </c>
      <c r="I62" s="31">
        <f t="shared" si="1"/>
        <v>394.91685430313</v>
      </c>
      <c r="J62" s="31">
        <f t="shared" si="1"/>
        <v>392.18620131489</v>
      </c>
      <c r="K62" s="31">
        <f t="shared" si="1"/>
        <v>389.14661990796003</v>
      </c>
      <c r="L62" s="31">
        <f t="shared" si="1"/>
        <v>385.81236947103</v>
      </c>
      <c r="M62" s="31">
        <f t="shared" si="1"/>
        <v>352.55476465054</v>
      </c>
      <c r="N62" s="31">
        <f t="shared" si="1"/>
        <v>322.63845993474996</v>
      </c>
      <c r="O62" s="31">
        <f t="shared" si="1"/>
        <v>285.510958221</v>
      </c>
      <c r="P62" s="31"/>
      <c r="Q62" s="31"/>
      <c r="R62" s="31"/>
      <c r="S62" s="31"/>
      <c r="T62" s="14"/>
      <c r="U62" s="14"/>
      <c r="V62" s="14"/>
      <c r="W62" s="138"/>
      <c r="X62" s="24"/>
      <c r="Y62" s="24"/>
      <c r="Z62" s="86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</row>
    <row r="63" spans="1:45" s="2" customFormat="1" ht="12.75">
      <c r="A63" s="96"/>
      <c r="B63" s="96"/>
      <c r="C63" s="96"/>
      <c r="D63" s="97"/>
      <c r="E63" s="97"/>
      <c r="F63" s="96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6"/>
      <c r="U63" s="96"/>
      <c r="V63" s="96"/>
      <c r="W63" s="96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</row>
    <row r="64" spans="1:45" s="2" customFormat="1" ht="12.75">
      <c r="A64" s="96"/>
      <c r="B64" s="96"/>
      <c r="C64" s="96"/>
      <c r="D64" s="97"/>
      <c r="E64" s="97"/>
      <c r="F64" s="13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6"/>
      <c r="U64" s="96"/>
      <c r="V64" s="96"/>
      <c r="W64" s="96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</row>
    <row r="65" spans="1:45" s="2" customFormat="1" ht="12.75">
      <c r="A65" s="96"/>
      <c r="B65" s="96"/>
      <c r="C65" s="96"/>
      <c r="D65" s="97"/>
      <c r="E65" s="97"/>
      <c r="F65" s="4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6"/>
      <c r="U65" s="96"/>
      <c r="V65" s="96"/>
      <c r="W65" s="96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</row>
    <row r="66" spans="1:45" s="2" customFormat="1" ht="12.75">
      <c r="A66" s="96"/>
      <c r="B66" s="96"/>
      <c r="C66" s="96"/>
      <c r="D66" s="97"/>
      <c r="E66" s="97"/>
      <c r="F66" s="4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V66" s="96"/>
      <c r="W66" s="96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</row>
    <row r="67" spans="1:45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51"/>
      <c r="T67" s="40"/>
      <c r="U67" s="96"/>
      <c r="V67" s="96"/>
      <c r="W67" s="40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</row>
    <row r="68" spans="2:26" ht="13.5" thickBot="1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189"/>
      <c r="T68" s="98"/>
      <c r="U68" s="98"/>
      <c r="V68" s="98"/>
      <c r="W68" s="98"/>
      <c r="X68" s="71"/>
      <c r="Y68" s="71"/>
      <c r="Z68" s="71"/>
    </row>
    <row r="69" spans="1:45" s="1" customFormat="1" ht="12.75" customHeight="1">
      <c r="A69" s="159" t="s">
        <v>58</v>
      </c>
      <c r="B69" s="15" t="s">
        <v>59</v>
      </c>
      <c r="C69" s="16" t="s">
        <v>60</v>
      </c>
      <c r="D69" s="15" t="s">
        <v>61</v>
      </c>
      <c r="E69" s="17"/>
      <c r="F69" s="8"/>
      <c r="G69" s="18"/>
      <c r="H69" s="18"/>
      <c r="I69" s="18" t="s">
        <v>62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4"/>
      <c r="Y69" s="4"/>
      <c r="Z69" s="141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spans="1:45" s="1" customFormat="1" ht="12.75">
      <c r="A70" s="19"/>
      <c r="B70" s="3" t="s">
        <v>63</v>
      </c>
      <c r="C70" s="8"/>
      <c r="D70" s="135" t="s">
        <v>64</v>
      </c>
      <c r="E70" s="160"/>
      <c r="F70" s="8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94"/>
      <c r="T70" s="94"/>
      <c r="U70" s="94"/>
      <c r="V70" s="94"/>
      <c r="W70" s="94"/>
      <c r="X70" s="94"/>
      <c r="Y70" s="94"/>
      <c r="Z70" s="95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</row>
    <row r="71" spans="1:45" ht="13.5" thickBot="1">
      <c r="A71" s="20"/>
      <c r="B71" s="129" t="s">
        <v>65</v>
      </c>
      <c r="C71" s="11"/>
      <c r="D71" s="12" t="s">
        <v>66</v>
      </c>
      <c r="E71" s="12" t="s">
        <v>67</v>
      </c>
      <c r="F71" s="11"/>
      <c r="G71" s="65">
        <v>2002</v>
      </c>
      <c r="H71" s="65">
        <v>2003</v>
      </c>
      <c r="I71" s="65">
        <v>2004</v>
      </c>
      <c r="J71" s="65">
        <v>2005</v>
      </c>
      <c r="K71" s="65">
        <v>2006</v>
      </c>
      <c r="L71" s="65">
        <v>2007</v>
      </c>
      <c r="M71" s="65">
        <v>2008</v>
      </c>
      <c r="N71" s="65">
        <v>2009</v>
      </c>
      <c r="O71" s="65">
        <v>2010</v>
      </c>
      <c r="P71" s="65">
        <v>2011</v>
      </c>
      <c r="Q71" s="65">
        <v>2012</v>
      </c>
      <c r="R71" s="65">
        <v>2013</v>
      </c>
      <c r="S71" s="70">
        <v>2014</v>
      </c>
      <c r="T71" s="66">
        <v>2015</v>
      </c>
      <c r="U71" s="66">
        <v>2016</v>
      </c>
      <c r="V71" s="66">
        <v>2017</v>
      </c>
      <c r="W71" s="66">
        <v>2018</v>
      </c>
      <c r="X71" s="66">
        <v>2019</v>
      </c>
      <c r="Y71" s="66">
        <v>2020</v>
      </c>
      <c r="Z71" s="161">
        <v>2021</v>
      </c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</row>
    <row r="72" spans="1:26" ht="13.5" thickTop="1">
      <c r="A72" s="21" t="s">
        <v>14</v>
      </c>
      <c r="B72" s="9"/>
      <c r="C72" s="9"/>
      <c r="D72" s="9"/>
      <c r="E72" s="9"/>
      <c r="F72" s="6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6"/>
      <c r="U72" s="6"/>
      <c r="V72" s="6"/>
      <c r="W72" s="126"/>
      <c r="X72" s="9"/>
      <c r="Y72" s="9"/>
      <c r="Z72" s="82"/>
    </row>
    <row r="73" spans="1:26" ht="12.75">
      <c r="A73" s="22" t="s">
        <v>15</v>
      </c>
      <c r="B73" s="7">
        <v>35786</v>
      </c>
      <c r="C73" s="6" t="s">
        <v>18</v>
      </c>
      <c r="D73" s="29">
        <f>SUM(G73:G73)</f>
        <v>3900.717</v>
      </c>
      <c r="E73" s="6"/>
      <c r="F73" s="6" t="s">
        <v>66</v>
      </c>
      <c r="G73" s="29">
        <f>81000000*B200</f>
        <v>3900.717</v>
      </c>
      <c r="H73" s="6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6"/>
      <c r="U73" s="6"/>
      <c r="V73" s="6"/>
      <c r="W73" s="126"/>
      <c r="X73" s="6"/>
      <c r="Y73" s="6"/>
      <c r="Z73" s="83"/>
    </row>
    <row r="74" spans="1:26" ht="12.75">
      <c r="A74" s="22"/>
      <c r="B74" s="6"/>
      <c r="C74" s="6"/>
      <c r="D74" s="6"/>
      <c r="E74" s="29">
        <f>SUM(G74:G74)</f>
        <v>143.71270783875</v>
      </c>
      <c r="F74" s="6" t="s">
        <v>67</v>
      </c>
      <c r="G74" s="29">
        <f>2984253.75*B200</f>
        <v>143.71270783875</v>
      </c>
      <c r="H74" s="6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6"/>
      <c r="U74" s="6"/>
      <c r="V74" s="6"/>
      <c r="W74" s="126"/>
      <c r="X74" s="6"/>
      <c r="Y74" s="6"/>
      <c r="Z74" s="83"/>
    </row>
    <row r="75" spans="1:26" ht="12.75">
      <c r="A75" s="22" t="s">
        <v>39</v>
      </c>
      <c r="B75" s="7">
        <v>36364</v>
      </c>
      <c r="C75" s="6" t="s">
        <v>19</v>
      </c>
      <c r="D75" s="29">
        <f>SUM(I75:S75)</f>
        <v>5054.76</v>
      </c>
      <c r="E75" s="6"/>
      <c r="F75" s="6" t="s">
        <v>66</v>
      </c>
      <c r="G75" s="29"/>
      <c r="H75" s="29"/>
      <c r="I75" s="29">
        <f>6000000*B201</f>
        <v>252.73800000000003</v>
      </c>
      <c r="J75" s="29">
        <f>12000000*B201</f>
        <v>505.47600000000006</v>
      </c>
      <c r="K75" s="29">
        <f>12000000*B201</f>
        <v>505.47600000000006</v>
      </c>
      <c r="L75" s="29">
        <f>12000000*B201</f>
        <v>505.47600000000006</v>
      </c>
      <c r="M75" s="29">
        <f>12000000*B201</f>
        <v>505.47600000000006</v>
      </c>
      <c r="N75" s="29">
        <f>12000000*B201</f>
        <v>505.47600000000006</v>
      </c>
      <c r="O75" s="29">
        <f>12000000*B201</f>
        <v>505.47600000000006</v>
      </c>
      <c r="P75" s="29">
        <f>12000000*B201</f>
        <v>505.47600000000006</v>
      </c>
      <c r="Q75" s="29">
        <f>12000000*B201</f>
        <v>505.47600000000006</v>
      </c>
      <c r="R75" s="29">
        <f>12000000*B201</f>
        <v>505.47600000000006</v>
      </c>
      <c r="S75" s="29">
        <f>6000000*B201</f>
        <v>252.73800000000003</v>
      </c>
      <c r="T75" s="6"/>
      <c r="U75" s="6"/>
      <c r="V75" s="6"/>
      <c r="W75" s="126"/>
      <c r="X75" s="6"/>
      <c r="Y75" s="6"/>
      <c r="Z75" s="83"/>
    </row>
    <row r="76" spans="1:26" ht="12.75">
      <c r="A76" s="22"/>
      <c r="B76" s="7"/>
      <c r="C76" s="6"/>
      <c r="D76" s="74"/>
      <c r="E76" s="50">
        <f>SUM(G76:S76)</f>
        <v>1978.3066950000002</v>
      </c>
      <c r="F76" s="6" t="s">
        <v>67</v>
      </c>
      <c r="G76" s="29">
        <f>6060000*B201</f>
        <v>255.26538000000002</v>
      </c>
      <c r="H76" s="29">
        <f>6060000*B201</f>
        <v>255.26538000000002</v>
      </c>
      <c r="I76" s="29">
        <f>6060000*B201</f>
        <v>255.26538000000002</v>
      </c>
      <c r="J76" s="29">
        <f>5605500*B201</f>
        <v>236.12047650000002</v>
      </c>
      <c r="K76" s="29">
        <f>4999500*B201</f>
        <v>210.5939385</v>
      </c>
      <c r="L76" s="29">
        <f>4393500*B201</f>
        <v>185.06740050000002</v>
      </c>
      <c r="M76" s="29">
        <f>3787500*B201</f>
        <v>159.5408625</v>
      </c>
      <c r="N76" s="29">
        <f>3181500*B201</f>
        <v>134.01432450000001</v>
      </c>
      <c r="O76" s="29">
        <f>2575500*B201</f>
        <v>108.48778650000001</v>
      </c>
      <c r="P76" s="29">
        <f>1969500*B201</f>
        <v>82.96124850000001</v>
      </c>
      <c r="Q76" s="29">
        <f>1363500*B201</f>
        <v>57.4347105</v>
      </c>
      <c r="R76" s="29">
        <f>757500*B201</f>
        <v>31.908172500000003</v>
      </c>
      <c r="S76" s="29">
        <f>151500*B201</f>
        <v>6.3816345000000005</v>
      </c>
      <c r="T76" s="6"/>
      <c r="U76" s="6"/>
      <c r="V76" s="6"/>
      <c r="W76" s="126"/>
      <c r="X76" s="6"/>
      <c r="Y76" s="6"/>
      <c r="Z76" s="83"/>
    </row>
    <row r="77" spans="1:26" ht="12.75">
      <c r="A77" s="22" t="s">
        <v>40</v>
      </c>
      <c r="B77" s="7">
        <v>36623</v>
      </c>
      <c r="C77" s="6" t="s">
        <v>19</v>
      </c>
      <c r="D77" s="50">
        <f>SUM(I77:S77)</f>
        <v>842.4599999999999</v>
      </c>
      <c r="E77" s="6"/>
      <c r="F77" s="6" t="s">
        <v>66</v>
      </c>
      <c r="G77" s="29"/>
      <c r="H77" s="29"/>
      <c r="I77" s="29">
        <f>1000000*B201</f>
        <v>42.123000000000005</v>
      </c>
      <c r="J77" s="29">
        <f>2000000*B201</f>
        <v>84.24600000000001</v>
      </c>
      <c r="K77" s="29">
        <f>2000000*B201</f>
        <v>84.24600000000001</v>
      </c>
      <c r="L77" s="29">
        <f>2000000*B201</f>
        <v>84.24600000000001</v>
      </c>
      <c r="M77" s="29">
        <f>2000000*B201</f>
        <v>84.24600000000001</v>
      </c>
      <c r="N77" s="29">
        <f>2000000*B201</f>
        <v>84.24600000000001</v>
      </c>
      <c r="O77" s="29">
        <f>2000000*B201</f>
        <v>84.24600000000001</v>
      </c>
      <c r="P77" s="29">
        <f>2000000*B201</f>
        <v>84.24600000000001</v>
      </c>
      <c r="Q77" s="29">
        <f>2000000*B201</f>
        <v>84.24600000000001</v>
      </c>
      <c r="R77" s="29">
        <f>2000000*B201</f>
        <v>84.24600000000001</v>
      </c>
      <c r="S77" s="29">
        <f>1000000*B201</f>
        <v>42.123000000000005</v>
      </c>
      <c r="T77" s="6"/>
      <c r="U77" s="6"/>
      <c r="V77" s="6"/>
      <c r="W77" s="126"/>
      <c r="X77" s="6"/>
      <c r="Y77" s="6"/>
      <c r="Z77" s="83"/>
    </row>
    <row r="78" spans="1:26" ht="12.75">
      <c r="A78" s="22"/>
      <c r="B78" s="6"/>
      <c r="C78" s="6"/>
      <c r="D78" s="6"/>
      <c r="E78" s="50">
        <f>SUM(G78:S78)</f>
        <v>369.54507900000004</v>
      </c>
      <c r="F78" s="6" t="s">
        <v>67</v>
      </c>
      <c r="G78" s="29">
        <f>1132000*B201</f>
        <v>47.683236</v>
      </c>
      <c r="H78" s="29">
        <f>1132000*B201</f>
        <v>47.683236</v>
      </c>
      <c r="I78" s="29">
        <f>1132000*B201</f>
        <v>47.683236</v>
      </c>
      <c r="J78" s="29">
        <f>1047100*B201</f>
        <v>44.106993300000006</v>
      </c>
      <c r="K78" s="29">
        <f>933900*B201</f>
        <v>39.338669700000004</v>
      </c>
      <c r="L78" s="29">
        <f>820700*B201</f>
        <v>34.5703461</v>
      </c>
      <c r="M78" s="29">
        <f>707500*B201</f>
        <v>29.802022500000003</v>
      </c>
      <c r="N78" s="29">
        <f>594300*B201</f>
        <v>25.0336989</v>
      </c>
      <c r="O78" s="29">
        <f>481100*B201</f>
        <v>20.265375300000002</v>
      </c>
      <c r="P78" s="29">
        <f>367900*B201</f>
        <v>15.497051700000002</v>
      </c>
      <c r="Q78" s="29">
        <f>254700*B201</f>
        <v>10.728728100000001</v>
      </c>
      <c r="R78" s="29">
        <f>141500*B201</f>
        <v>5.9604045</v>
      </c>
      <c r="S78" s="29">
        <f>28300*B201</f>
        <v>1.1920809</v>
      </c>
      <c r="T78" s="6"/>
      <c r="U78" s="6"/>
      <c r="V78" s="6"/>
      <c r="W78" s="126"/>
      <c r="X78" s="6"/>
      <c r="Y78" s="6"/>
      <c r="Z78" s="83"/>
    </row>
    <row r="79" spans="1:26" ht="12.75">
      <c r="A79" s="22" t="s">
        <v>34</v>
      </c>
      <c r="B79" s="7">
        <v>36600</v>
      </c>
      <c r="C79" s="6" t="s">
        <v>19</v>
      </c>
      <c r="D79" s="50">
        <f>SUM(G79:S79)</f>
        <v>1895.5350000000003</v>
      </c>
      <c r="E79" s="6"/>
      <c r="F79" s="6" t="s">
        <v>66</v>
      </c>
      <c r="G79" s="29">
        <f>7500000*B201</f>
        <v>315.9225</v>
      </c>
      <c r="H79" s="29">
        <f>15000000*B201</f>
        <v>631.845</v>
      </c>
      <c r="I79" s="29">
        <f>15000000*B201</f>
        <v>631.845</v>
      </c>
      <c r="J79" s="29">
        <f>7500000*B201</f>
        <v>315.9225</v>
      </c>
      <c r="K79" s="29"/>
      <c r="L79" s="29"/>
      <c r="M79" s="6"/>
      <c r="N79" s="29"/>
      <c r="O79" s="29"/>
      <c r="P79" s="29"/>
      <c r="Q79" s="29"/>
      <c r="R79" s="29"/>
      <c r="S79" s="29"/>
      <c r="T79" s="6"/>
      <c r="U79" s="6"/>
      <c r="V79" s="6"/>
      <c r="W79" s="126"/>
      <c r="X79" s="6"/>
      <c r="Y79" s="6"/>
      <c r="Z79" s="83"/>
    </row>
    <row r="80" spans="1:26" ht="12.75">
      <c r="A80" s="22"/>
      <c r="B80" s="6"/>
      <c r="C80" s="6"/>
      <c r="D80" s="6"/>
      <c r="E80" s="29">
        <f>SUM(G80:S80)</f>
        <v>305.0716067754</v>
      </c>
      <c r="F80" s="6" t="s">
        <v>67</v>
      </c>
      <c r="G80" s="29">
        <f>3279068.75*B201</f>
        <v>138.12421295625</v>
      </c>
      <c r="H80" s="29">
        <f>2458552.92*B201</f>
        <v>103.56162464916001</v>
      </c>
      <c r="I80" s="29">
        <f>1370021.88*B201</f>
        <v>57.70943165124</v>
      </c>
      <c r="J80" s="29">
        <f>134756.25*B201</f>
        <v>5.6763375187500005</v>
      </c>
      <c r="K80" s="29"/>
      <c r="L80" s="29"/>
      <c r="M80" s="6"/>
      <c r="N80" s="29"/>
      <c r="O80" s="29"/>
      <c r="P80" s="29"/>
      <c r="Q80" s="29"/>
      <c r="R80" s="29"/>
      <c r="S80" s="29"/>
      <c r="T80" s="6"/>
      <c r="U80" s="6"/>
      <c r="V80" s="6"/>
      <c r="W80" s="126"/>
      <c r="X80" s="6"/>
      <c r="Y80" s="6"/>
      <c r="Z80" s="83"/>
    </row>
    <row r="81" spans="1:26" ht="12.75">
      <c r="A81" s="22" t="s">
        <v>31</v>
      </c>
      <c r="B81" s="7">
        <v>36672</v>
      </c>
      <c r="C81" s="6" t="s">
        <v>19</v>
      </c>
      <c r="D81" s="50">
        <f>SUM(I81:S81)</f>
        <v>6529.0650000000005</v>
      </c>
      <c r="E81" s="6"/>
      <c r="F81" s="6" t="s">
        <v>66</v>
      </c>
      <c r="G81" s="29"/>
      <c r="H81" s="29"/>
      <c r="I81" s="29"/>
      <c r="J81" s="29"/>
      <c r="K81" s="29"/>
      <c r="L81" s="50">
        <f>155000000*B201</f>
        <v>6529.0650000000005</v>
      </c>
      <c r="M81" s="29"/>
      <c r="N81" s="29"/>
      <c r="O81" s="29"/>
      <c r="P81" s="29"/>
      <c r="Q81" s="29"/>
      <c r="R81" s="29"/>
      <c r="S81" s="29"/>
      <c r="T81" s="6"/>
      <c r="U81" s="6"/>
      <c r="V81" s="6"/>
      <c r="W81" s="126"/>
      <c r="X81" s="6"/>
      <c r="Y81" s="6"/>
      <c r="Z81" s="83"/>
    </row>
    <row r="82" spans="1:26" ht="12.75">
      <c r="A82" s="22"/>
      <c r="B82" s="6"/>
      <c r="C82" s="6"/>
      <c r="D82" s="6"/>
      <c r="E82" s="29">
        <f>SUM(G82:S82)</f>
        <v>3133.9512000000004</v>
      </c>
      <c r="F82" s="6" t="s">
        <v>67</v>
      </c>
      <c r="G82" s="29">
        <f>12400000*B201</f>
        <v>522.3252</v>
      </c>
      <c r="H82" s="29">
        <f>12400000*B201</f>
        <v>522.3252</v>
      </c>
      <c r="I82" s="29">
        <f>12400000*B201</f>
        <v>522.3252</v>
      </c>
      <c r="J82" s="29">
        <f>12400000*B201</f>
        <v>522.3252</v>
      </c>
      <c r="K82" s="29">
        <f>12400000*B201</f>
        <v>522.3252</v>
      </c>
      <c r="L82" s="29">
        <f>12400000*B201</f>
        <v>522.3252</v>
      </c>
      <c r="M82" s="29"/>
      <c r="N82" s="29"/>
      <c r="O82" s="29"/>
      <c r="P82" s="29"/>
      <c r="Q82" s="29"/>
      <c r="R82" s="29"/>
      <c r="S82" s="29"/>
      <c r="T82" s="6"/>
      <c r="U82" s="6"/>
      <c r="V82" s="6"/>
      <c r="W82" s="126"/>
      <c r="X82" s="6"/>
      <c r="Y82" s="6"/>
      <c r="Z82" s="83"/>
    </row>
    <row r="83" spans="1:26" ht="12.75">
      <c r="A83" s="52" t="s">
        <v>31</v>
      </c>
      <c r="B83" s="67">
        <v>36795</v>
      </c>
      <c r="C83" s="53" t="s">
        <v>19</v>
      </c>
      <c r="D83" s="50">
        <f>SUM(I83:S83)</f>
        <v>1895.535</v>
      </c>
      <c r="E83" s="29"/>
      <c r="F83" s="6" t="s">
        <v>66</v>
      </c>
      <c r="G83" s="29"/>
      <c r="H83" s="29"/>
      <c r="I83" s="29"/>
      <c r="J83" s="29"/>
      <c r="K83" s="29"/>
      <c r="L83" s="29">
        <f>45000000*B201</f>
        <v>1895.535</v>
      </c>
      <c r="M83" s="29"/>
      <c r="N83" s="29"/>
      <c r="O83" s="29"/>
      <c r="P83" s="29"/>
      <c r="Q83" s="29"/>
      <c r="R83" s="29"/>
      <c r="S83" s="29"/>
      <c r="T83" s="6"/>
      <c r="U83" s="6"/>
      <c r="V83" s="6"/>
      <c r="W83" s="126"/>
      <c r="X83" s="6"/>
      <c r="Y83" s="6"/>
      <c r="Z83" s="83"/>
    </row>
    <row r="84" spans="1:26" ht="12.75">
      <c r="A84" s="22"/>
      <c r="B84" s="6"/>
      <c r="C84" s="6"/>
      <c r="D84" s="6"/>
      <c r="E84" s="50">
        <f>SUM(G84:S84)</f>
        <v>909.8568000000002</v>
      </c>
      <c r="F84" s="6" t="s">
        <v>67</v>
      </c>
      <c r="G84" s="29">
        <f>3600000*B201</f>
        <v>151.64280000000002</v>
      </c>
      <c r="H84" s="29">
        <f>3600000*B201</f>
        <v>151.64280000000002</v>
      </c>
      <c r="I84" s="29">
        <f>3600000*B201</f>
        <v>151.64280000000002</v>
      </c>
      <c r="J84" s="29">
        <f>3600000*B201</f>
        <v>151.64280000000002</v>
      </c>
      <c r="K84" s="29">
        <f>3600000*B201</f>
        <v>151.64280000000002</v>
      </c>
      <c r="L84" s="29">
        <f>3600000*B201</f>
        <v>151.64280000000002</v>
      </c>
      <c r="M84" s="29"/>
      <c r="N84" s="29"/>
      <c r="O84" s="29"/>
      <c r="P84" s="29"/>
      <c r="Q84" s="29"/>
      <c r="R84" s="29"/>
      <c r="S84" s="29"/>
      <c r="T84" s="6"/>
      <c r="U84" s="6"/>
      <c r="V84" s="6"/>
      <c r="W84" s="126"/>
      <c r="X84" s="6"/>
      <c r="Y84" s="6"/>
      <c r="Z84" s="83"/>
    </row>
    <row r="85" spans="1:26" ht="12.75">
      <c r="A85" s="22" t="s">
        <v>41</v>
      </c>
      <c r="B85" s="7">
        <v>36882</v>
      </c>
      <c r="C85" s="6" t="s">
        <v>19</v>
      </c>
      <c r="D85" s="50">
        <f>SUM(I85:S85)</f>
        <v>2527.38</v>
      </c>
      <c r="E85" s="29"/>
      <c r="F85" s="6" t="s">
        <v>66</v>
      </c>
      <c r="G85" s="29"/>
      <c r="H85" s="29"/>
      <c r="I85" s="29">
        <f>3000000*B201</f>
        <v>126.36900000000001</v>
      </c>
      <c r="J85" s="29">
        <f>6000000*B201</f>
        <v>252.73800000000003</v>
      </c>
      <c r="K85" s="29">
        <f>6000000*B201</f>
        <v>252.73800000000003</v>
      </c>
      <c r="L85" s="29">
        <f>6000000*B201</f>
        <v>252.73800000000003</v>
      </c>
      <c r="M85" s="29">
        <f>6000000*B201</f>
        <v>252.73800000000003</v>
      </c>
      <c r="N85" s="29">
        <f>6000000*B201</f>
        <v>252.73800000000003</v>
      </c>
      <c r="O85" s="29">
        <f>6000000*B201</f>
        <v>252.73800000000003</v>
      </c>
      <c r="P85" s="29">
        <f>6000000*B201</f>
        <v>252.73800000000003</v>
      </c>
      <c r="Q85" s="29">
        <f>6000000*B201</f>
        <v>252.73800000000003</v>
      </c>
      <c r="R85" s="29">
        <f>6000000*B201</f>
        <v>252.73800000000003</v>
      </c>
      <c r="S85" s="29">
        <f>3000000*B201</f>
        <v>126.36900000000001</v>
      </c>
      <c r="T85" s="6"/>
      <c r="U85" s="6"/>
      <c r="V85" s="6"/>
      <c r="W85" s="126"/>
      <c r="X85" s="6"/>
      <c r="Y85" s="6"/>
      <c r="Z85" s="83"/>
    </row>
    <row r="86" spans="1:26" ht="12.75">
      <c r="A86" s="22"/>
      <c r="B86" s="6"/>
      <c r="C86" s="6"/>
      <c r="D86" s="6"/>
      <c r="E86" s="29">
        <f>SUM(G86:S86)</f>
        <v>1036.1626155000001</v>
      </c>
      <c r="F86" s="6" t="s">
        <v>67</v>
      </c>
      <c r="G86" s="29">
        <f>3174000*B201</f>
        <v>133.69840200000002</v>
      </c>
      <c r="H86" s="29">
        <f>3174000*B201</f>
        <v>133.69840200000002</v>
      </c>
      <c r="I86" s="29">
        <f>3174000*B201</f>
        <v>133.69840200000002</v>
      </c>
      <c r="J86" s="29">
        <f>2935950*B201</f>
        <v>123.67102185</v>
      </c>
      <c r="K86" s="29">
        <f>2618550*B201</f>
        <v>110.30118165</v>
      </c>
      <c r="L86" s="29">
        <f>2301150*B201</f>
        <v>96.93134145</v>
      </c>
      <c r="M86" s="29">
        <f>1983750*B201</f>
        <v>83.56150125</v>
      </c>
      <c r="N86" s="29">
        <f>1666350*B201</f>
        <v>70.19166105000001</v>
      </c>
      <c r="O86" s="29">
        <f>1348950*B201</f>
        <v>56.82182085</v>
      </c>
      <c r="P86" s="29">
        <f>1031550*B201</f>
        <v>43.45198065</v>
      </c>
      <c r="Q86" s="29">
        <f>714150*B201</f>
        <v>30.08214045</v>
      </c>
      <c r="R86" s="29">
        <f>396750*B201</f>
        <v>16.712300250000002</v>
      </c>
      <c r="S86" s="29">
        <f>79350*B201</f>
        <v>3.34246005</v>
      </c>
      <c r="T86" s="6"/>
      <c r="U86" s="6"/>
      <c r="V86" s="6"/>
      <c r="W86" s="126"/>
      <c r="X86" s="6"/>
      <c r="Y86" s="6"/>
      <c r="Z86" s="83"/>
    </row>
    <row r="87" spans="1:26" ht="12.75">
      <c r="A87" s="22" t="s">
        <v>30</v>
      </c>
      <c r="B87" s="7">
        <v>37046</v>
      </c>
      <c r="C87" s="9" t="s">
        <v>46</v>
      </c>
      <c r="D87" s="50">
        <f>SUM(I87:S87)</f>
        <v>2999.9999999999995</v>
      </c>
      <c r="E87" s="29"/>
      <c r="F87" s="6" t="s">
        <v>66</v>
      </c>
      <c r="G87" s="29"/>
      <c r="H87" s="29"/>
      <c r="I87" s="29">
        <f>310350000*B202</f>
        <v>310.34999999999997</v>
      </c>
      <c r="J87" s="29">
        <f>413800000*B202</f>
        <v>413.79999999999995</v>
      </c>
      <c r="K87" s="29">
        <f>413800000*B202</f>
        <v>413.79999999999995</v>
      </c>
      <c r="L87" s="29">
        <f>413800000*B202</f>
        <v>413.79999999999995</v>
      </c>
      <c r="M87" s="29">
        <f>413800000*B202</f>
        <v>413.79999999999995</v>
      </c>
      <c r="N87" s="29">
        <f>413800000*B202</f>
        <v>413.79999999999995</v>
      </c>
      <c r="O87" s="13">
        <f>413800000*B202</f>
        <v>413.79999999999995</v>
      </c>
      <c r="P87" s="29">
        <f>206850000*B202</f>
        <v>206.85</v>
      </c>
      <c r="Q87" s="29"/>
      <c r="R87" s="29"/>
      <c r="S87" s="29"/>
      <c r="T87" s="6"/>
      <c r="U87" s="6"/>
      <c r="V87" s="6"/>
      <c r="W87" s="126"/>
      <c r="X87" s="6"/>
      <c r="Y87" s="6"/>
      <c r="Z87" s="83"/>
    </row>
    <row r="88" spans="1:26" ht="12.75">
      <c r="A88" s="22"/>
      <c r="B88" s="6"/>
      <c r="C88" s="6"/>
      <c r="D88" s="72"/>
      <c r="E88" s="29">
        <f>SUM(G88:S88)</f>
        <v>1597.6640677100002</v>
      </c>
      <c r="F88" s="36" t="s">
        <v>67</v>
      </c>
      <c r="G88" s="29">
        <f>266145833.33*B202</f>
        <v>266.14583333</v>
      </c>
      <c r="H88" s="29">
        <f>266145833.33*B202</f>
        <v>266.14583333</v>
      </c>
      <c r="I88" s="29">
        <f>259985517.36*B202</f>
        <v>259.98551736</v>
      </c>
      <c r="J88" s="29">
        <f>224808937.5*B202</f>
        <v>224.80893749999998</v>
      </c>
      <c r="K88" s="29">
        <f>188098555.55*B202</f>
        <v>188.09855555000001</v>
      </c>
      <c r="L88" s="29">
        <f>151388173.62*B202</f>
        <v>151.38817362</v>
      </c>
      <c r="M88" s="29">
        <f>115029796.88*B202</f>
        <v>115.02979687999999</v>
      </c>
      <c r="N88" s="29">
        <f>77967409.72*B202</f>
        <v>77.96740971999999</v>
      </c>
      <c r="O88" s="29">
        <f>41257027.78*B202</f>
        <v>41.25702778</v>
      </c>
      <c r="P88" s="29">
        <f>6836982.64*B202</f>
        <v>6.8369826399999996</v>
      </c>
      <c r="Q88" s="29"/>
      <c r="R88" s="29"/>
      <c r="S88" s="29"/>
      <c r="T88" s="6"/>
      <c r="U88" s="6"/>
      <c r="V88" s="6"/>
      <c r="W88" s="126"/>
      <c r="X88" s="6"/>
      <c r="Y88" s="6"/>
      <c r="Z88" s="83"/>
    </row>
    <row r="89" spans="1:26" ht="12.75">
      <c r="A89" s="22" t="s">
        <v>35</v>
      </c>
      <c r="B89" s="7">
        <v>37046</v>
      </c>
      <c r="C89" s="9" t="s">
        <v>46</v>
      </c>
      <c r="D89" s="50">
        <f>SUM(I89:S89)</f>
        <v>2000</v>
      </c>
      <c r="E89" s="74"/>
      <c r="F89" s="6" t="s">
        <v>66</v>
      </c>
      <c r="G89" s="167"/>
      <c r="H89" s="29"/>
      <c r="I89" s="29">
        <f>285714000*B202</f>
        <v>285.714</v>
      </c>
      <c r="J89" s="29">
        <f>285714000*B202</f>
        <v>285.714</v>
      </c>
      <c r="K89" s="29">
        <f>285714000*B202</f>
        <v>285.714</v>
      </c>
      <c r="L89" s="29">
        <f>285714000*B202</f>
        <v>285.714</v>
      </c>
      <c r="M89" s="29">
        <f>285714000*B202</f>
        <v>285.714</v>
      </c>
      <c r="N89" s="29">
        <f>285714000*B202</f>
        <v>285.714</v>
      </c>
      <c r="O89" s="29">
        <f>285716000*B202</f>
        <v>285.716</v>
      </c>
      <c r="P89" s="29"/>
      <c r="Q89" s="29"/>
      <c r="R89" s="29"/>
      <c r="S89" s="29"/>
      <c r="T89" s="6"/>
      <c r="U89" s="6"/>
      <c r="V89" s="6"/>
      <c r="W89" s="126"/>
      <c r="X89" s="6"/>
      <c r="Y89" s="6"/>
      <c r="Z89" s="83"/>
    </row>
    <row r="90" spans="1:26" ht="12.75">
      <c r="A90" s="22"/>
      <c r="B90" s="6"/>
      <c r="C90" s="6"/>
      <c r="D90" s="72"/>
      <c r="E90" s="74">
        <f>SUM(G90:S90)</f>
        <v>975.8162980899999</v>
      </c>
      <c r="F90" s="36" t="s">
        <v>67</v>
      </c>
      <c r="G90" s="167">
        <f>177430555.51*B202</f>
        <v>177.43055550999998</v>
      </c>
      <c r="H90" s="29">
        <f>177430555.51*B202</f>
        <v>177.43055550999998</v>
      </c>
      <c r="I90" s="29">
        <f>165138899.7*B202</f>
        <v>165.13889969999997</v>
      </c>
      <c r="J90" s="29">
        <f>139305513.56*B202</f>
        <v>139.30551356</v>
      </c>
      <c r="K90" s="29">
        <f>113958396.78*B202</f>
        <v>113.95839678</v>
      </c>
      <c r="L90" s="29">
        <f>88609190.3*B202</f>
        <v>88.6091903</v>
      </c>
      <c r="M90" s="29">
        <f>63477359.34*B202</f>
        <v>63.47735934</v>
      </c>
      <c r="N90" s="29">
        <f>37916306.15*B202</f>
        <v>37.91630615</v>
      </c>
      <c r="O90" s="29">
        <f>12549521.24*B202</f>
        <v>12.549521239999999</v>
      </c>
      <c r="P90" s="29"/>
      <c r="Q90" s="29"/>
      <c r="R90" s="29"/>
      <c r="S90" s="29"/>
      <c r="T90" s="6"/>
      <c r="U90" s="6"/>
      <c r="V90" s="6"/>
      <c r="W90" s="126"/>
      <c r="X90" s="6"/>
      <c r="Y90" s="6"/>
      <c r="Z90" s="83"/>
    </row>
    <row r="91" spans="1:26" ht="12.75">
      <c r="A91" s="22" t="s">
        <v>36</v>
      </c>
      <c r="B91" s="7">
        <v>37046</v>
      </c>
      <c r="C91" s="9" t="s">
        <v>46</v>
      </c>
      <c r="D91" s="50">
        <f>SUM(I91:S91)</f>
        <v>5500</v>
      </c>
      <c r="E91" s="29"/>
      <c r="F91" s="6" t="s">
        <v>66</v>
      </c>
      <c r="G91" s="29"/>
      <c r="H91" s="29"/>
      <c r="I91" s="29">
        <f>392000000*B202</f>
        <v>392</v>
      </c>
      <c r="J91" s="29">
        <f>784000000*B202</f>
        <v>784</v>
      </c>
      <c r="K91" s="29">
        <f>784000000*B202</f>
        <v>784</v>
      </c>
      <c r="L91" s="29">
        <f>784000000*B202</f>
        <v>784</v>
      </c>
      <c r="M91" s="29">
        <f>784000000*B202</f>
        <v>784</v>
      </c>
      <c r="N91" s="29">
        <f>784000000*B202</f>
        <v>784</v>
      </c>
      <c r="O91" s="29">
        <f>784000000*B202</f>
        <v>784</v>
      </c>
      <c r="P91" s="29">
        <f>404000000*B202</f>
        <v>404</v>
      </c>
      <c r="Q91" s="29"/>
      <c r="R91" s="29"/>
      <c r="S91" s="29"/>
      <c r="T91" s="6"/>
      <c r="U91" s="6"/>
      <c r="V91" s="6"/>
      <c r="W91" s="126"/>
      <c r="X91" s="6"/>
      <c r="Y91" s="6"/>
      <c r="Z91" s="83"/>
    </row>
    <row r="92" spans="1:26" ht="13.5" thickBot="1">
      <c r="A92" s="23"/>
      <c r="B92" s="12"/>
      <c r="C92" s="12"/>
      <c r="D92" s="12"/>
      <c r="E92" s="30">
        <f>SUM(G92:S92)</f>
        <v>2995.9354951800005</v>
      </c>
      <c r="F92" s="12" t="s">
        <v>67</v>
      </c>
      <c r="G92" s="30">
        <f>488486666.64*B202</f>
        <v>488.48666663999995</v>
      </c>
      <c r="H92" s="30">
        <f>488491666.64*B202</f>
        <v>488.49166663999995</v>
      </c>
      <c r="I92" s="30">
        <f>485442213.32*B202</f>
        <v>485.44221331999995</v>
      </c>
      <c r="J92" s="30">
        <f>427398506.68*B202</f>
        <v>427.39850667999997</v>
      </c>
      <c r="K92" s="30">
        <f>357764239.99*B202</f>
        <v>357.76423999</v>
      </c>
      <c r="L92" s="30">
        <f>288131973.33*B202</f>
        <v>288.13197333</v>
      </c>
      <c r="M92" s="30">
        <f>219170333.34*B202</f>
        <v>219.17033333999998</v>
      </c>
      <c r="N92" s="30">
        <f>148867441.9*B202</f>
        <v>148.8674419</v>
      </c>
      <c r="O92" s="30">
        <f>79235173.33*B202</f>
        <v>79.23517333</v>
      </c>
      <c r="P92" s="30">
        <f>12947280.01*B202</f>
        <v>12.94728001</v>
      </c>
      <c r="Q92" s="30"/>
      <c r="R92" s="30"/>
      <c r="S92" s="30"/>
      <c r="T92" s="12"/>
      <c r="U92" s="12"/>
      <c r="V92" s="12"/>
      <c r="W92" s="127"/>
      <c r="X92" s="12"/>
      <c r="Y92" s="12"/>
      <c r="Z92" s="85"/>
    </row>
    <row r="93" spans="1:26" s="2" customFormat="1" ht="14.25" thickBot="1" thickTop="1">
      <c r="A93" s="165" t="s">
        <v>68</v>
      </c>
      <c r="B93" s="24"/>
      <c r="C93" s="24"/>
      <c r="D93" s="32">
        <f>SUM(D73:D92)</f>
        <v>33145.452000000005</v>
      </c>
      <c r="E93" s="32">
        <f>SUM(E73:E92)</f>
        <v>13446.02256509415</v>
      </c>
      <c r="F93" s="11"/>
      <c r="G93" s="32">
        <f aca="true" t="shared" si="2" ref="G93:S93">SUM(G73:G92)</f>
        <v>6541.154494274999</v>
      </c>
      <c r="H93" s="32">
        <f t="shared" si="2"/>
        <v>2778.0896981291603</v>
      </c>
      <c r="I93" s="32">
        <f t="shared" si="2"/>
        <v>4120.03008003124</v>
      </c>
      <c r="J93" s="32">
        <f t="shared" si="2"/>
        <v>4516.95228690875</v>
      </c>
      <c r="K93" s="32">
        <f t="shared" si="2"/>
        <v>4019.99698217</v>
      </c>
      <c r="L93" s="32">
        <f t="shared" si="2"/>
        <v>12269.240425299999</v>
      </c>
      <c r="M93" s="32">
        <f t="shared" si="2"/>
        <v>2996.55587581</v>
      </c>
      <c r="N93" s="32">
        <f t="shared" si="2"/>
        <v>2819.96484222</v>
      </c>
      <c r="O93" s="32">
        <f t="shared" si="2"/>
        <v>2644.5927050000005</v>
      </c>
      <c r="P93" s="32">
        <f t="shared" si="2"/>
        <v>1615.0045435000002</v>
      </c>
      <c r="Q93" s="32">
        <f t="shared" si="2"/>
        <v>940.7055790500001</v>
      </c>
      <c r="R93" s="32">
        <f t="shared" si="2"/>
        <v>897.0408772500001</v>
      </c>
      <c r="S93" s="32">
        <f t="shared" si="2"/>
        <v>432.14617545000004</v>
      </c>
      <c r="T93" s="24"/>
      <c r="U93" s="24"/>
      <c r="V93" s="24"/>
      <c r="W93" s="137"/>
      <c r="X93" s="24"/>
      <c r="Y93" s="24"/>
      <c r="Z93" s="86"/>
    </row>
    <row r="94" spans="1:26" ht="13.5" thickBot="1">
      <c r="A94" s="78"/>
      <c r="B94" s="13"/>
      <c r="C94" s="13"/>
      <c r="D94" s="13"/>
      <c r="E94" s="13"/>
      <c r="F94" s="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51"/>
      <c r="T94" s="40"/>
      <c r="U94" s="40"/>
      <c r="V94" s="40"/>
      <c r="W94" s="40"/>
      <c r="X94" s="162"/>
      <c r="Y94" s="162"/>
      <c r="Z94" s="162"/>
    </row>
    <row r="95" spans="1:45" s="1" customFormat="1" ht="12.75" customHeight="1">
      <c r="A95" s="159" t="s">
        <v>58</v>
      </c>
      <c r="B95" s="15" t="s">
        <v>59</v>
      </c>
      <c r="C95" s="16" t="s">
        <v>60</v>
      </c>
      <c r="D95" s="15" t="s">
        <v>61</v>
      </c>
      <c r="E95" s="17"/>
      <c r="F95" s="16"/>
      <c r="G95" s="18"/>
      <c r="H95" s="18"/>
      <c r="I95" s="18" t="s">
        <v>62</v>
      </c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4"/>
      <c r="Y95" s="4"/>
      <c r="Z95" s="141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</row>
    <row r="96" spans="1:45" s="1" customFormat="1" ht="12.75">
      <c r="A96" s="19"/>
      <c r="B96" s="3" t="s">
        <v>63</v>
      </c>
      <c r="C96" s="8"/>
      <c r="D96" s="135" t="s">
        <v>64</v>
      </c>
      <c r="E96" s="160"/>
      <c r="F96" s="8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94"/>
      <c r="T96" s="94"/>
      <c r="U96" s="94"/>
      <c r="V96" s="94"/>
      <c r="W96" s="94"/>
      <c r="X96" s="94"/>
      <c r="Y96" s="94"/>
      <c r="Z96" s="95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</row>
    <row r="97" spans="1:45" ht="13.5" thickBot="1">
      <c r="A97" s="20"/>
      <c r="B97" s="129" t="s">
        <v>65</v>
      </c>
      <c r="C97" s="11"/>
      <c r="D97" s="12" t="s">
        <v>66</v>
      </c>
      <c r="E97" s="12" t="s">
        <v>67</v>
      </c>
      <c r="F97" s="11"/>
      <c r="G97" s="65">
        <v>2002</v>
      </c>
      <c r="H97" s="65">
        <v>2003</v>
      </c>
      <c r="I97" s="65">
        <v>2004</v>
      </c>
      <c r="J97" s="65">
        <v>2005</v>
      </c>
      <c r="K97" s="65">
        <v>2006</v>
      </c>
      <c r="L97" s="65">
        <v>2007</v>
      </c>
      <c r="M97" s="65">
        <v>2008</v>
      </c>
      <c r="N97" s="65">
        <v>2009</v>
      </c>
      <c r="O97" s="65">
        <v>2010</v>
      </c>
      <c r="P97" s="65">
        <v>2011</v>
      </c>
      <c r="Q97" s="65">
        <v>2012</v>
      </c>
      <c r="R97" s="65">
        <v>2013</v>
      </c>
      <c r="S97" s="70">
        <v>2014</v>
      </c>
      <c r="T97" s="66">
        <v>2015</v>
      </c>
      <c r="U97" s="66">
        <v>2016</v>
      </c>
      <c r="V97" s="66">
        <v>2017</v>
      </c>
      <c r="W97" s="66">
        <v>2018</v>
      </c>
      <c r="X97" s="66">
        <v>2019</v>
      </c>
      <c r="Y97" s="66">
        <v>2020</v>
      </c>
      <c r="Z97" s="161">
        <v>2021</v>
      </c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</row>
    <row r="98" spans="1:26" ht="13.5" thickTop="1">
      <c r="A98" s="21" t="s">
        <v>50</v>
      </c>
      <c r="B98" s="9"/>
      <c r="C98" s="6"/>
      <c r="D98" s="13"/>
      <c r="E98" s="168"/>
      <c r="F98" s="13"/>
      <c r="G98" s="13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6"/>
      <c r="U98" s="6"/>
      <c r="V98" s="6"/>
      <c r="W98" s="126"/>
      <c r="X98" s="9"/>
      <c r="Y98" s="9"/>
      <c r="Z98" s="82"/>
    </row>
    <row r="99" spans="1:26" ht="12.75">
      <c r="A99" s="22"/>
      <c r="B99" s="55">
        <v>36999</v>
      </c>
      <c r="C99" s="9" t="s">
        <v>46</v>
      </c>
      <c r="D99" s="29">
        <f>SUM(G99:S99)</f>
        <v>600</v>
      </c>
      <c r="E99" s="13"/>
      <c r="F99" s="6" t="s">
        <v>66</v>
      </c>
      <c r="G99" s="170">
        <f>600000000*B202</f>
        <v>600</v>
      </c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6"/>
      <c r="U99" s="6"/>
      <c r="V99" s="6"/>
      <c r="W99" s="126"/>
      <c r="X99" s="6"/>
      <c r="Y99" s="6"/>
      <c r="Z99" s="83"/>
    </row>
    <row r="100" spans="1:26" ht="12.75">
      <c r="A100" s="6"/>
      <c r="B100" s="6"/>
      <c r="C100" s="6"/>
      <c r="D100" s="6"/>
      <c r="E100" s="29">
        <f>SUM(G100:S100)</f>
        <v>51</v>
      </c>
      <c r="F100" s="6" t="s">
        <v>67</v>
      </c>
      <c r="G100" s="63">
        <f>51000000*B202</f>
        <v>51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6"/>
      <c r="U100" s="6"/>
      <c r="V100" s="6"/>
      <c r="W100" s="6"/>
      <c r="X100" s="6"/>
      <c r="Y100" s="6"/>
      <c r="Z100" s="83"/>
    </row>
    <row r="101" spans="1:26" ht="12.75">
      <c r="A101" s="42" t="s">
        <v>69</v>
      </c>
      <c r="B101" s="55">
        <v>37235</v>
      </c>
      <c r="C101" s="9" t="s">
        <v>19</v>
      </c>
      <c r="D101" s="28">
        <f>SUM(G101:Z101)</f>
        <v>1895.5350000000003</v>
      </c>
      <c r="E101" s="28"/>
      <c r="F101" s="9" t="s">
        <v>66</v>
      </c>
      <c r="G101" s="187"/>
      <c r="H101" s="28"/>
      <c r="I101" s="54"/>
      <c r="J101" s="54"/>
      <c r="K101" s="54"/>
      <c r="L101" s="114">
        <f>2997000*B201</f>
        <v>126.242631</v>
      </c>
      <c r="M101" s="114">
        <f>2997000*B201</f>
        <v>126.242631</v>
      </c>
      <c r="N101" s="114">
        <f>2997000*B201</f>
        <v>126.242631</v>
      </c>
      <c r="O101" s="114">
        <f>2997000*B201</f>
        <v>126.242631</v>
      </c>
      <c r="P101" s="114">
        <f>2997000*B201</f>
        <v>126.242631</v>
      </c>
      <c r="Q101" s="114">
        <f>2997000*B201</f>
        <v>126.242631</v>
      </c>
      <c r="R101" s="114">
        <f>2997000*B201</f>
        <v>126.242631</v>
      </c>
      <c r="S101" s="114">
        <f>2997000*B201</f>
        <v>126.242631</v>
      </c>
      <c r="T101" s="114">
        <f>2997000*B201</f>
        <v>126.242631</v>
      </c>
      <c r="U101" s="114">
        <f>2997000*B201</f>
        <v>126.242631</v>
      </c>
      <c r="V101" s="114">
        <f>2997000*B201</f>
        <v>126.242631</v>
      </c>
      <c r="W101" s="188">
        <f>2997000*B201</f>
        <v>126.242631</v>
      </c>
      <c r="X101" s="59">
        <f>2997000*B201</f>
        <v>126.242631</v>
      </c>
      <c r="Y101" s="59">
        <f>2997000*B201</f>
        <v>126.242631</v>
      </c>
      <c r="Z101" s="113">
        <f>3042000*B201</f>
        <v>128.138166</v>
      </c>
    </row>
    <row r="102" spans="1:26" ht="13.5" thickBot="1">
      <c r="A102" s="52"/>
      <c r="B102" s="53"/>
      <c r="C102" s="53"/>
      <c r="D102" s="53"/>
      <c r="E102" s="28">
        <f>SUM(H102:Z102)</f>
        <v>1365.4675926</v>
      </c>
      <c r="F102" s="12" t="s">
        <v>67</v>
      </c>
      <c r="G102" s="111"/>
      <c r="H102" s="114">
        <f>2700000*B201</f>
        <v>113.7321</v>
      </c>
      <c r="I102" s="59">
        <f>2700000*B201</f>
        <v>113.7321</v>
      </c>
      <c r="J102" s="59">
        <f>2700000*B201</f>
        <v>113.7321</v>
      </c>
      <c r="K102" s="59">
        <f>2700000*B201</f>
        <v>113.7321</v>
      </c>
      <c r="L102" s="59">
        <f>2700000*B201</f>
        <v>113.7321</v>
      </c>
      <c r="M102" s="59">
        <f>2520180*B201</f>
        <v>106.15754214</v>
      </c>
      <c r="N102" s="59">
        <f>2340360*B201</f>
        <v>98.58298428</v>
      </c>
      <c r="O102" s="59">
        <f>2160540*B201</f>
        <v>91.00842642</v>
      </c>
      <c r="P102" s="59">
        <f>1980720*B201</f>
        <v>83.43386856000001</v>
      </c>
      <c r="Q102" s="59">
        <f>1800900*B201</f>
        <v>75.85931070000001</v>
      </c>
      <c r="R102" s="59">
        <f>1621080*B201</f>
        <v>68.28475284000001</v>
      </c>
      <c r="S102" s="59">
        <f>1441260*B201</f>
        <v>60.710194980000004</v>
      </c>
      <c r="T102" s="59">
        <f>1261440*B201</f>
        <v>53.135637120000005</v>
      </c>
      <c r="U102" s="59">
        <f>1081620*B201</f>
        <v>45.56107926000001</v>
      </c>
      <c r="V102" s="59">
        <f>901800*B201</f>
        <v>37.9865214</v>
      </c>
      <c r="W102" s="112">
        <f>721980*B201</f>
        <v>30.411963540000002</v>
      </c>
      <c r="X102" s="76">
        <f>542160*B201</f>
        <v>22.837405680000003</v>
      </c>
      <c r="Y102" s="76">
        <f>362340*B201</f>
        <v>15.262847820000001</v>
      </c>
      <c r="Z102" s="115">
        <f>179820*B201</f>
        <v>7.5745578600000005</v>
      </c>
    </row>
    <row r="103" spans="1:26" s="2" customFormat="1" ht="14.25" thickBot="1" thickTop="1">
      <c r="A103" s="165" t="s">
        <v>68</v>
      </c>
      <c r="B103" s="14"/>
      <c r="C103" s="14"/>
      <c r="D103" s="31">
        <f>SUM(D99:D102)</f>
        <v>2495.5350000000003</v>
      </c>
      <c r="E103" s="31">
        <f>SUM(E99:E102)</f>
        <v>1416.4675926</v>
      </c>
      <c r="F103" s="75"/>
      <c r="G103" s="31">
        <f aca="true" t="shared" si="3" ref="G103:Z103">SUM(G99:G102)</f>
        <v>651</v>
      </c>
      <c r="H103" s="31">
        <f t="shared" si="3"/>
        <v>113.7321</v>
      </c>
      <c r="I103" s="31">
        <f t="shared" si="3"/>
        <v>113.7321</v>
      </c>
      <c r="J103" s="31">
        <f t="shared" si="3"/>
        <v>113.7321</v>
      </c>
      <c r="K103" s="31">
        <f t="shared" si="3"/>
        <v>113.7321</v>
      </c>
      <c r="L103" s="31">
        <f t="shared" si="3"/>
        <v>239.97473100000002</v>
      </c>
      <c r="M103" s="31">
        <f t="shared" si="3"/>
        <v>232.40017314</v>
      </c>
      <c r="N103" s="31">
        <f t="shared" si="3"/>
        <v>224.82561528000002</v>
      </c>
      <c r="O103" s="31">
        <f t="shared" si="3"/>
        <v>217.25105742</v>
      </c>
      <c r="P103" s="31">
        <f t="shared" si="3"/>
        <v>209.67649956000002</v>
      </c>
      <c r="Q103" s="31">
        <f t="shared" si="3"/>
        <v>202.1019417</v>
      </c>
      <c r="R103" s="31">
        <f t="shared" si="3"/>
        <v>194.52738384000003</v>
      </c>
      <c r="S103" s="31">
        <f t="shared" si="3"/>
        <v>186.95282598</v>
      </c>
      <c r="T103" s="31">
        <f t="shared" si="3"/>
        <v>179.37826812</v>
      </c>
      <c r="U103" s="31">
        <f t="shared" si="3"/>
        <v>171.80371026</v>
      </c>
      <c r="V103" s="31">
        <f t="shared" si="3"/>
        <v>164.2291524</v>
      </c>
      <c r="W103" s="31">
        <f t="shared" si="3"/>
        <v>156.65459454</v>
      </c>
      <c r="X103" s="31">
        <f t="shared" si="3"/>
        <v>149.08003668</v>
      </c>
      <c r="Y103" s="31">
        <f t="shared" si="3"/>
        <v>141.50547882</v>
      </c>
      <c r="Z103" s="142">
        <f t="shared" si="3"/>
        <v>135.71272386</v>
      </c>
    </row>
    <row r="104" spans="1:23" s="2" customFormat="1" ht="13.5" thickBot="1">
      <c r="A104" s="136"/>
      <c r="B104" s="136"/>
      <c r="C104" s="136"/>
      <c r="D104" s="143"/>
      <c r="E104" s="143"/>
      <c r="F104" s="162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36"/>
      <c r="U104" s="136"/>
      <c r="V104" s="136"/>
      <c r="W104" s="136"/>
    </row>
    <row r="105" spans="1:26" s="2" customFormat="1" ht="14.25">
      <c r="A105" s="144" t="s">
        <v>42</v>
      </c>
      <c r="B105" s="102"/>
      <c r="C105" s="102"/>
      <c r="D105" s="103"/>
      <c r="E105" s="171"/>
      <c r="F105" s="13"/>
      <c r="G105" s="172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5"/>
      <c r="U105" s="105"/>
      <c r="V105" s="105"/>
      <c r="W105" s="139"/>
      <c r="X105" s="105"/>
      <c r="Y105" s="105"/>
      <c r="Z105" s="106"/>
    </row>
    <row r="106" spans="1:26" s="2" customFormat="1" ht="12.75">
      <c r="A106" s="61" t="s">
        <v>44</v>
      </c>
      <c r="B106" s="58">
        <v>36993</v>
      </c>
      <c r="C106" s="57" t="s">
        <v>19</v>
      </c>
      <c r="D106" s="29">
        <f>SUM(G106:S106)</f>
        <v>4212.3</v>
      </c>
      <c r="E106" s="112"/>
      <c r="F106" s="6" t="s">
        <v>66</v>
      </c>
      <c r="G106" s="173">
        <f>100000000*B201</f>
        <v>4212.3</v>
      </c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62"/>
      <c r="U106" s="62"/>
      <c r="V106" s="62"/>
      <c r="W106" s="130"/>
      <c r="X106" s="62"/>
      <c r="Y106" s="62"/>
      <c r="Z106" s="88"/>
    </row>
    <row r="107" spans="1:26" s="2" customFormat="1" ht="12.75">
      <c r="A107" s="89"/>
      <c r="B107" s="62"/>
      <c r="C107" s="62"/>
      <c r="D107" s="59"/>
      <c r="E107" s="29">
        <f>SUM(G107:S107)</f>
        <v>221.98821</v>
      </c>
      <c r="F107" s="36" t="s">
        <v>67</v>
      </c>
      <c r="G107" s="59">
        <f>5270000*B201</f>
        <v>221.98821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62"/>
      <c r="U107" s="62"/>
      <c r="V107" s="62"/>
      <c r="W107" s="130"/>
      <c r="X107" s="62"/>
      <c r="Y107" s="62"/>
      <c r="Z107" s="88"/>
    </row>
    <row r="108" spans="1:26" s="2" customFormat="1" ht="12.75">
      <c r="A108" s="90" t="s">
        <v>43</v>
      </c>
      <c r="B108" s="58">
        <v>36993</v>
      </c>
      <c r="C108" s="9" t="s">
        <v>46</v>
      </c>
      <c r="D108" s="29">
        <f>SUM(G108:S108)</f>
        <v>6500</v>
      </c>
      <c r="E108" s="54"/>
      <c r="F108" s="6" t="s">
        <v>66</v>
      </c>
      <c r="G108" s="59">
        <f>6500000000*B202</f>
        <v>6500</v>
      </c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73"/>
      <c r="U108" s="73"/>
      <c r="V108" s="73"/>
      <c r="W108" s="140"/>
      <c r="X108" s="62"/>
      <c r="Y108" s="62"/>
      <c r="Z108" s="88"/>
    </row>
    <row r="109" spans="1:26" s="2" customFormat="1" ht="13.5" thickBot="1">
      <c r="A109" s="91"/>
      <c r="B109" s="60"/>
      <c r="C109" s="60"/>
      <c r="D109" s="76"/>
      <c r="E109" s="30">
        <f>SUM(G109:S109)</f>
        <v>556.4</v>
      </c>
      <c r="F109" s="12" t="s">
        <v>67</v>
      </c>
      <c r="G109" s="76">
        <f>556400000*B202</f>
        <v>556.4</v>
      </c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60"/>
      <c r="U109" s="60"/>
      <c r="V109" s="60"/>
      <c r="W109" s="124"/>
      <c r="X109" s="60"/>
      <c r="Y109" s="60"/>
      <c r="Z109" s="92"/>
    </row>
    <row r="110" spans="1:26" ht="14.25" thickBot="1" thickTop="1">
      <c r="A110" s="165" t="s">
        <v>68</v>
      </c>
      <c r="B110" s="99"/>
      <c r="C110" s="75"/>
      <c r="D110" s="31">
        <f>SUM(D106:D109)</f>
        <v>10712.3</v>
      </c>
      <c r="E110" s="31">
        <f>SUM(E106:E109)</f>
        <v>778.38821</v>
      </c>
      <c r="F110" s="75"/>
      <c r="G110" s="32">
        <f>SUM(G106:G109)</f>
        <v>11490.68821</v>
      </c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1"/>
      <c r="T110" s="75"/>
      <c r="U110" s="75"/>
      <c r="V110" s="99"/>
      <c r="W110" s="71"/>
      <c r="X110" s="25"/>
      <c r="Y110" s="25"/>
      <c r="Z110" s="145"/>
    </row>
    <row r="111" spans="1:23" ht="12.75">
      <c r="A111" s="40"/>
      <c r="B111" s="13"/>
      <c r="C111" s="13"/>
      <c r="D111" s="51"/>
      <c r="E111" s="51"/>
      <c r="F111" s="13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13"/>
      <c r="U111" s="13"/>
      <c r="V111" s="13"/>
      <c r="W111" s="13"/>
    </row>
    <row r="112" spans="1:23" ht="12.75">
      <c r="A112" s="40"/>
      <c r="B112" s="13"/>
      <c r="C112" s="13"/>
      <c r="D112" s="51"/>
      <c r="E112" s="51"/>
      <c r="F112" s="4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13"/>
      <c r="U112" s="13"/>
      <c r="V112" s="13"/>
      <c r="W112" s="13"/>
    </row>
    <row r="113" spans="1:23" ht="12.75">
      <c r="A113" s="40"/>
      <c r="B113" s="13"/>
      <c r="C113" s="13"/>
      <c r="D113" s="51"/>
      <c r="E113" s="51"/>
      <c r="F113" s="4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13"/>
      <c r="U113" s="13"/>
      <c r="V113" s="13"/>
      <c r="W113" s="13"/>
    </row>
    <row r="114" spans="1:23" ht="12.75">
      <c r="A114" s="40"/>
      <c r="B114" s="13"/>
      <c r="C114" s="13"/>
      <c r="D114" s="51"/>
      <c r="E114" s="51"/>
      <c r="F114" s="13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13"/>
      <c r="U114" s="13"/>
      <c r="V114" s="13"/>
      <c r="W114" s="13"/>
    </row>
    <row r="115" spans="1:23" ht="13.5" thickBot="1">
      <c r="A115" s="40"/>
      <c r="B115" s="13"/>
      <c r="C115" s="13"/>
      <c r="D115" s="51"/>
      <c r="E115" s="51"/>
      <c r="F115" s="10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40"/>
      <c r="U115" s="40"/>
      <c r="V115" s="40"/>
      <c r="W115" s="40"/>
    </row>
    <row r="116" spans="1:45" s="1" customFormat="1" ht="12.75" customHeight="1">
      <c r="A116" s="159" t="s">
        <v>58</v>
      </c>
      <c r="B116" s="15" t="s">
        <v>59</v>
      </c>
      <c r="C116" s="16" t="s">
        <v>60</v>
      </c>
      <c r="D116" s="15" t="s">
        <v>61</v>
      </c>
      <c r="E116" s="17"/>
      <c r="F116" s="16"/>
      <c r="G116" s="18"/>
      <c r="H116" s="18"/>
      <c r="I116" s="18" t="s">
        <v>62</v>
      </c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81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</row>
    <row r="117" spans="1:45" s="1" customFormat="1" ht="12.75">
      <c r="A117" s="19"/>
      <c r="B117" s="3" t="s">
        <v>63</v>
      </c>
      <c r="C117" s="8"/>
      <c r="D117" s="135" t="s">
        <v>64</v>
      </c>
      <c r="E117" s="160"/>
      <c r="F117" s="8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94"/>
      <c r="T117" s="94"/>
      <c r="U117" s="94"/>
      <c r="V117" s="94"/>
      <c r="W117" s="94"/>
      <c r="X117" s="94"/>
      <c r="Y117" s="94"/>
      <c r="Z117" s="95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</row>
    <row r="118" spans="1:45" ht="13.5" thickBot="1">
      <c r="A118" s="20"/>
      <c r="B118" s="129" t="s">
        <v>65</v>
      </c>
      <c r="C118" s="11"/>
      <c r="D118" s="12" t="s">
        <v>66</v>
      </c>
      <c r="E118" s="12" t="s">
        <v>67</v>
      </c>
      <c r="F118" s="12"/>
      <c r="G118" s="65">
        <v>2002</v>
      </c>
      <c r="H118" s="65">
        <v>2003</v>
      </c>
      <c r="I118" s="65">
        <v>2004</v>
      </c>
      <c r="J118" s="65">
        <v>2005</v>
      </c>
      <c r="K118" s="65">
        <v>2006</v>
      </c>
      <c r="L118" s="65">
        <v>2007</v>
      </c>
      <c r="M118" s="65">
        <v>2008</v>
      </c>
      <c r="N118" s="65">
        <v>2009</v>
      </c>
      <c r="O118" s="65">
        <v>2010</v>
      </c>
      <c r="P118" s="65">
        <v>2011</v>
      </c>
      <c r="Q118" s="65">
        <v>2012</v>
      </c>
      <c r="R118" s="65">
        <v>2013</v>
      </c>
      <c r="S118" s="70">
        <v>2014</v>
      </c>
      <c r="T118" s="66">
        <v>2015</v>
      </c>
      <c r="U118" s="66">
        <v>2016</v>
      </c>
      <c r="V118" s="66">
        <v>2017</v>
      </c>
      <c r="W118" s="66">
        <v>2018</v>
      </c>
      <c r="X118" s="66">
        <v>2019</v>
      </c>
      <c r="Y118" s="66">
        <v>2020</v>
      </c>
      <c r="Z118" s="161">
        <v>2021</v>
      </c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</row>
    <row r="119" spans="1:26" s="1" customFormat="1" ht="13.5" thickTop="1">
      <c r="A119" s="21" t="s">
        <v>20</v>
      </c>
      <c r="B119" s="10"/>
      <c r="C119" s="10"/>
      <c r="D119" s="10"/>
      <c r="E119" s="10"/>
      <c r="F119" s="9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5"/>
      <c r="U119" s="5"/>
      <c r="V119" s="5"/>
      <c r="W119" s="135"/>
      <c r="X119" s="5"/>
      <c r="Y119" s="5"/>
      <c r="Z119" s="84"/>
    </row>
    <row r="120" spans="1:26" ht="12.75">
      <c r="A120" s="22" t="s">
        <v>21</v>
      </c>
      <c r="B120" s="7">
        <v>33646</v>
      </c>
      <c r="C120" s="6" t="s">
        <v>18</v>
      </c>
      <c r="D120" s="29">
        <f>SUM(G120:Q120)</f>
        <v>1947.1413518706302</v>
      </c>
      <c r="E120" s="29"/>
      <c r="F120" s="6" t="s">
        <v>66</v>
      </c>
      <c r="G120" s="29">
        <f>40433194.59*B200</f>
        <v>1947.1413518706302</v>
      </c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6"/>
      <c r="S120" s="29"/>
      <c r="T120" s="6"/>
      <c r="U120" s="6"/>
      <c r="V120" s="6"/>
      <c r="W120" s="126"/>
      <c r="X120" s="6"/>
      <c r="Y120" s="6"/>
      <c r="Z120" s="83"/>
    </row>
    <row r="121" spans="1:26" ht="13.5" thickBot="1">
      <c r="A121" s="23"/>
      <c r="B121" s="12"/>
      <c r="C121" s="12"/>
      <c r="D121" s="12"/>
      <c r="E121" s="30">
        <f>SUM(G121:Q121)</f>
        <v>142.37375879744</v>
      </c>
      <c r="F121" s="12" t="s">
        <v>67</v>
      </c>
      <c r="G121" s="30">
        <f>2956449.92*B200</f>
        <v>142.37375879744</v>
      </c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12"/>
      <c r="S121" s="30"/>
      <c r="T121" s="12"/>
      <c r="U121" s="12"/>
      <c r="V121" s="12"/>
      <c r="W121" s="127"/>
      <c r="X121" s="12"/>
      <c r="Y121" s="12"/>
      <c r="Z121" s="85"/>
    </row>
    <row r="122" spans="1:26" s="2" customFormat="1" ht="14.25" thickBot="1" thickTop="1">
      <c r="A122" s="165" t="s">
        <v>68</v>
      </c>
      <c r="B122" s="24"/>
      <c r="C122" s="24"/>
      <c r="D122" s="32">
        <f>SUM(D120:D121)</f>
        <v>1947.1413518706302</v>
      </c>
      <c r="E122" s="32">
        <f>SUM(E120:E121)</f>
        <v>142.37375879744</v>
      </c>
      <c r="F122" s="75"/>
      <c r="G122" s="32">
        <f>SUM(G120:G121)</f>
        <v>2089.51511066807</v>
      </c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24"/>
      <c r="U122" s="24"/>
      <c r="V122" s="24"/>
      <c r="W122" s="137"/>
      <c r="X122" s="14"/>
      <c r="Y122" s="14"/>
      <c r="Z122" s="190"/>
    </row>
    <row r="123" spans="1:27" ht="13.5" thickBot="1">
      <c r="A123" s="146"/>
      <c r="B123" s="71"/>
      <c r="C123" s="71"/>
      <c r="D123" s="71"/>
      <c r="E123" s="71"/>
      <c r="F123" s="9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80"/>
      <c r="T123" s="79"/>
      <c r="U123" s="79"/>
      <c r="V123" s="79"/>
      <c r="W123" s="79"/>
      <c r="X123" s="71"/>
      <c r="Y123" s="71"/>
      <c r="Z123" s="71"/>
      <c r="AA123" s="13"/>
    </row>
    <row r="124" spans="1:45" s="1" customFormat="1" ht="12.75" customHeight="1">
      <c r="A124" s="159" t="s">
        <v>58</v>
      </c>
      <c r="B124" s="15" t="s">
        <v>59</v>
      </c>
      <c r="C124" s="16" t="s">
        <v>60</v>
      </c>
      <c r="D124" s="15" t="s">
        <v>61</v>
      </c>
      <c r="E124" s="17"/>
      <c r="F124" s="16"/>
      <c r="G124" s="18"/>
      <c r="H124" s="18"/>
      <c r="I124" s="18" t="s">
        <v>62</v>
      </c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81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</row>
    <row r="125" spans="1:45" s="1" customFormat="1" ht="12.75">
      <c r="A125" s="19"/>
      <c r="B125" s="3" t="s">
        <v>63</v>
      </c>
      <c r="C125" s="8"/>
      <c r="D125" s="135" t="s">
        <v>64</v>
      </c>
      <c r="E125" s="160"/>
      <c r="F125" s="8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94"/>
      <c r="T125" s="94"/>
      <c r="U125" s="94"/>
      <c r="V125" s="94"/>
      <c r="W125" s="94"/>
      <c r="X125" s="94"/>
      <c r="Y125" s="94"/>
      <c r="Z125" s="95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</row>
    <row r="126" spans="1:45" ht="13.5" thickBot="1">
      <c r="A126" s="20"/>
      <c r="B126" s="129" t="s">
        <v>65</v>
      </c>
      <c r="C126" s="11"/>
      <c r="D126" s="12" t="s">
        <v>66</v>
      </c>
      <c r="E126" s="12" t="s">
        <v>67</v>
      </c>
      <c r="F126" s="12"/>
      <c r="G126" s="65">
        <v>2002</v>
      </c>
      <c r="H126" s="65">
        <v>2003</v>
      </c>
      <c r="I126" s="65">
        <v>2004</v>
      </c>
      <c r="J126" s="65">
        <v>2005</v>
      </c>
      <c r="K126" s="65">
        <v>2006</v>
      </c>
      <c r="L126" s="65">
        <v>2007</v>
      </c>
      <c r="M126" s="65">
        <v>2008</v>
      </c>
      <c r="N126" s="65">
        <v>2009</v>
      </c>
      <c r="O126" s="65">
        <v>2010</v>
      </c>
      <c r="P126" s="65">
        <v>2011</v>
      </c>
      <c r="Q126" s="65">
        <v>2012</v>
      </c>
      <c r="R126" s="65">
        <v>2013</v>
      </c>
      <c r="S126" s="70">
        <v>2014</v>
      </c>
      <c r="T126" s="66">
        <v>2015</v>
      </c>
      <c r="U126" s="66">
        <v>2016</v>
      </c>
      <c r="V126" s="66">
        <v>2017</v>
      </c>
      <c r="W126" s="66">
        <v>2018</v>
      </c>
      <c r="X126" s="66">
        <v>2019</v>
      </c>
      <c r="Y126" s="66">
        <v>2020</v>
      </c>
      <c r="Z126" s="161">
        <v>2021</v>
      </c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</row>
    <row r="127" spans="1:26" ht="13.5" thickTop="1">
      <c r="A127" s="21" t="s">
        <v>24</v>
      </c>
      <c r="B127" s="9"/>
      <c r="C127" s="9"/>
      <c r="D127" s="9"/>
      <c r="E127" s="133"/>
      <c r="F127" s="13"/>
      <c r="G127" s="174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6"/>
      <c r="U127" s="6"/>
      <c r="V127" s="6"/>
      <c r="W127" s="133"/>
      <c r="X127" s="9"/>
      <c r="Y127" s="9"/>
      <c r="Z127" s="82"/>
    </row>
    <row r="128" spans="1:26" ht="12.75">
      <c r="A128" s="22" t="s">
        <v>25</v>
      </c>
      <c r="B128" s="7">
        <v>34711</v>
      </c>
      <c r="C128" s="6" t="s">
        <v>18</v>
      </c>
      <c r="D128" s="29">
        <f>SUM(G128:N128)</f>
        <v>77.0512</v>
      </c>
      <c r="E128" s="74"/>
      <c r="F128" s="6" t="s">
        <v>66</v>
      </c>
      <c r="G128" s="167">
        <f>200000*B200</f>
        <v>9.6314</v>
      </c>
      <c r="H128" s="29">
        <f>200000*B200</f>
        <v>9.6314</v>
      </c>
      <c r="I128" s="29">
        <f>200000*B200</f>
        <v>9.6314</v>
      </c>
      <c r="J128" s="29">
        <f>200000*B200</f>
        <v>9.6314</v>
      </c>
      <c r="K128" s="29">
        <f>200000*B200</f>
        <v>9.6314</v>
      </c>
      <c r="L128" s="29">
        <f>200000*B200</f>
        <v>9.6314</v>
      </c>
      <c r="M128" s="29">
        <f>200000*B200</f>
        <v>9.6314</v>
      </c>
      <c r="N128" s="29">
        <f>200000*B200</f>
        <v>9.6314</v>
      </c>
      <c r="O128" s="6"/>
      <c r="P128" s="29"/>
      <c r="Q128" s="29"/>
      <c r="R128" s="29"/>
      <c r="S128" s="29"/>
      <c r="T128" s="6"/>
      <c r="U128" s="6"/>
      <c r="V128" s="6"/>
      <c r="W128" s="126"/>
      <c r="X128" s="6"/>
      <c r="Y128" s="6"/>
      <c r="Z128" s="83"/>
    </row>
    <row r="129" spans="1:26" ht="12.75">
      <c r="A129" s="22"/>
      <c r="B129" s="6"/>
      <c r="C129" s="6"/>
      <c r="D129" s="6"/>
      <c r="E129" s="74">
        <f>SUM(G129:N129)</f>
        <v>22.468372631279998</v>
      </c>
      <c r="F129" s="36" t="s">
        <v>67</v>
      </c>
      <c r="G129" s="167">
        <f>106349.38*B200</f>
        <v>5.1214670926600006</v>
      </c>
      <c r="H129" s="29">
        <f>92626.88*B200</f>
        <v>4.46063266016</v>
      </c>
      <c r="I129" s="29">
        <f>78904.38*B200</f>
        <v>3.79979822766</v>
      </c>
      <c r="J129" s="29">
        <f>65181.88*B200</f>
        <v>3.13896379516</v>
      </c>
      <c r="K129" s="29">
        <f>51459.38*B200</f>
        <v>2.47812936266</v>
      </c>
      <c r="L129" s="29">
        <f>37736.88*B200</f>
        <v>1.8172949301599999</v>
      </c>
      <c r="M129" s="29">
        <f>24014.38*B200</f>
        <v>1.1564604976600001</v>
      </c>
      <c r="N129" s="29">
        <f>10291.88*B200</f>
        <v>0.49562606515999996</v>
      </c>
      <c r="O129" s="6"/>
      <c r="P129" s="29"/>
      <c r="Q129" s="29"/>
      <c r="R129" s="29"/>
      <c r="S129" s="29"/>
      <c r="T129" s="6"/>
      <c r="U129" s="6"/>
      <c r="V129" s="6"/>
      <c r="W129" s="126"/>
      <c r="X129" s="6"/>
      <c r="Y129" s="6"/>
      <c r="Z129" s="83"/>
    </row>
    <row r="130" spans="1:26" ht="12.75">
      <c r="A130" s="22" t="s">
        <v>17</v>
      </c>
      <c r="B130" s="7">
        <v>35044</v>
      </c>
      <c r="C130" s="6" t="s">
        <v>18</v>
      </c>
      <c r="D130" s="29">
        <f>SUM(G130:L130)</f>
        <v>1177.18119063875</v>
      </c>
      <c r="E130" s="74"/>
      <c r="F130" s="6" t="s">
        <v>66</v>
      </c>
      <c r="G130" s="167">
        <f>4444482.5*B200</f>
        <v>214.0329437525</v>
      </c>
      <c r="H130" s="29">
        <f>4444482.5*B200</f>
        <v>214.0329437525</v>
      </c>
      <c r="I130" s="29">
        <f>4444482.5*B200</f>
        <v>214.0329437525</v>
      </c>
      <c r="J130" s="29">
        <f>4444482.5*B200</f>
        <v>214.0329437525</v>
      </c>
      <c r="K130" s="29">
        <f>4444482.5*B200</f>
        <v>214.0329437525</v>
      </c>
      <c r="L130" s="29">
        <f>2222241.25*B200</f>
        <v>107.01647187625</v>
      </c>
      <c r="M130" s="6"/>
      <c r="N130" s="29"/>
      <c r="O130" s="29"/>
      <c r="P130" s="29"/>
      <c r="Q130" s="29"/>
      <c r="R130" s="29"/>
      <c r="S130" s="29"/>
      <c r="T130" s="6"/>
      <c r="U130" s="6"/>
      <c r="V130" s="6"/>
      <c r="W130" s="126"/>
      <c r="X130" s="6"/>
      <c r="Y130" s="6"/>
      <c r="Z130" s="83"/>
    </row>
    <row r="131" spans="1:26" ht="13.5" thickBot="1">
      <c r="A131" s="23"/>
      <c r="B131" s="12"/>
      <c r="C131" s="12"/>
      <c r="D131" s="12"/>
      <c r="E131" s="169">
        <f>SUM(G131:L131)</f>
        <v>241.95726803291</v>
      </c>
      <c r="F131" s="12" t="s">
        <v>67</v>
      </c>
      <c r="G131" s="175">
        <f>1598654.46*B200</f>
        <v>76.98640283022</v>
      </c>
      <c r="H131" s="30">
        <f>1294148.86*B200</f>
        <v>62.322326651020006</v>
      </c>
      <c r="I131" s="30">
        <f>989643.26*B200</f>
        <v>47.65825047182</v>
      </c>
      <c r="J131" s="30">
        <f>685137.65*B200</f>
        <v>32.994173811050004</v>
      </c>
      <c r="K131" s="30">
        <f>380632*B200</f>
        <v>18.330095224</v>
      </c>
      <c r="L131" s="30">
        <f>76126.4*B200</f>
        <v>3.6660190447999996</v>
      </c>
      <c r="M131" s="12"/>
      <c r="N131" s="30"/>
      <c r="O131" s="30"/>
      <c r="P131" s="30"/>
      <c r="Q131" s="30"/>
      <c r="R131" s="30"/>
      <c r="S131" s="30"/>
      <c r="T131" s="12"/>
      <c r="U131" s="12"/>
      <c r="V131" s="12"/>
      <c r="W131" s="127"/>
      <c r="X131" s="12"/>
      <c r="Y131" s="12"/>
      <c r="Z131" s="85"/>
    </row>
    <row r="132" spans="1:26" s="2" customFormat="1" ht="14.25" thickBot="1" thickTop="1">
      <c r="A132" s="165" t="s">
        <v>68</v>
      </c>
      <c r="B132" s="24"/>
      <c r="C132" s="24"/>
      <c r="D132" s="32">
        <f>SUM(D128:D131)</f>
        <v>1254.23239063875</v>
      </c>
      <c r="E132" s="32">
        <f>SUM(E128:E131)</f>
        <v>264.42564066419</v>
      </c>
      <c r="F132" s="75"/>
      <c r="G132" s="32">
        <f aca="true" t="shared" si="4" ref="G132:N132">SUM(G128:G131)</f>
        <v>305.77221367538</v>
      </c>
      <c r="H132" s="32">
        <f t="shared" si="4"/>
        <v>290.44730306368</v>
      </c>
      <c r="I132" s="32">
        <f t="shared" si="4"/>
        <v>275.12239245198</v>
      </c>
      <c r="J132" s="32">
        <f t="shared" si="4"/>
        <v>259.79748135871</v>
      </c>
      <c r="K132" s="32">
        <f t="shared" si="4"/>
        <v>244.47256833915998</v>
      </c>
      <c r="L132" s="32">
        <f t="shared" si="4"/>
        <v>122.13118585120999</v>
      </c>
      <c r="M132" s="32">
        <f t="shared" si="4"/>
        <v>10.787860497659999</v>
      </c>
      <c r="N132" s="32">
        <f t="shared" si="4"/>
        <v>10.127026065159999</v>
      </c>
      <c r="O132" s="32"/>
      <c r="P132" s="32"/>
      <c r="Q132" s="32"/>
      <c r="R132" s="32"/>
      <c r="S132" s="31"/>
      <c r="T132" s="14"/>
      <c r="U132" s="14"/>
      <c r="V132" s="14"/>
      <c r="W132" s="132"/>
      <c r="X132" s="24"/>
      <c r="Y132" s="24"/>
      <c r="Z132" s="86"/>
    </row>
    <row r="133" spans="1:23" s="2" customFormat="1" ht="13.5" thickBot="1">
      <c r="A133" s="93"/>
      <c r="B133" s="40"/>
      <c r="C133" s="40"/>
      <c r="D133" s="51"/>
      <c r="E133" s="51"/>
      <c r="F133" s="9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40"/>
      <c r="U133" s="40"/>
      <c r="V133" s="40"/>
      <c r="W133" s="40"/>
    </row>
    <row r="134" spans="1:45" s="1" customFormat="1" ht="12.75" customHeight="1">
      <c r="A134" s="159" t="s">
        <v>58</v>
      </c>
      <c r="B134" s="15" t="s">
        <v>59</v>
      </c>
      <c r="C134" s="16" t="s">
        <v>60</v>
      </c>
      <c r="D134" s="15" t="s">
        <v>61</v>
      </c>
      <c r="E134" s="17"/>
      <c r="F134" s="16"/>
      <c r="G134" s="18"/>
      <c r="H134" s="18"/>
      <c r="I134" s="18" t="s">
        <v>62</v>
      </c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81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</row>
    <row r="135" spans="1:45" s="1" customFormat="1" ht="12.75">
      <c r="A135" s="19"/>
      <c r="B135" s="3" t="s">
        <v>63</v>
      </c>
      <c r="C135" s="8"/>
      <c r="D135" s="135" t="s">
        <v>64</v>
      </c>
      <c r="E135" s="160"/>
      <c r="F135" s="8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94"/>
      <c r="T135" s="94"/>
      <c r="U135" s="94"/>
      <c r="V135" s="94"/>
      <c r="W135" s="94"/>
      <c r="X135" s="94"/>
      <c r="Y135" s="94"/>
      <c r="Z135" s="95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</row>
    <row r="136" spans="1:45" ht="13.5" thickBot="1">
      <c r="A136" s="20"/>
      <c r="B136" s="129" t="s">
        <v>65</v>
      </c>
      <c r="C136" s="11"/>
      <c r="D136" s="12" t="s">
        <v>66</v>
      </c>
      <c r="E136" s="12" t="s">
        <v>67</v>
      </c>
      <c r="F136" s="11"/>
      <c r="G136" s="65">
        <v>2002</v>
      </c>
      <c r="H136" s="65">
        <v>2003</v>
      </c>
      <c r="I136" s="65">
        <v>2004</v>
      </c>
      <c r="J136" s="65">
        <v>2005</v>
      </c>
      <c r="K136" s="65">
        <v>2006</v>
      </c>
      <c r="L136" s="65">
        <v>2007</v>
      </c>
      <c r="M136" s="65">
        <v>2008</v>
      </c>
      <c r="N136" s="65">
        <v>2009</v>
      </c>
      <c r="O136" s="65">
        <v>2010</v>
      </c>
      <c r="P136" s="65">
        <v>2011</v>
      </c>
      <c r="Q136" s="65">
        <v>2012</v>
      </c>
      <c r="R136" s="65">
        <v>2013</v>
      </c>
      <c r="S136" s="70">
        <v>2014</v>
      </c>
      <c r="T136" s="66">
        <v>2015</v>
      </c>
      <c r="U136" s="66">
        <v>2016</v>
      </c>
      <c r="V136" s="66">
        <v>2017</v>
      </c>
      <c r="W136" s="66">
        <v>2018</v>
      </c>
      <c r="X136" s="66">
        <v>2019</v>
      </c>
      <c r="Y136" s="66">
        <v>2020</v>
      </c>
      <c r="Z136" s="161">
        <v>2021</v>
      </c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</row>
    <row r="137" spans="1:26" ht="13.5" thickTop="1">
      <c r="A137" s="42"/>
      <c r="B137" s="9"/>
      <c r="C137" s="9"/>
      <c r="D137" s="9"/>
      <c r="E137" s="9"/>
      <c r="F137" s="16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6"/>
      <c r="U137" s="6"/>
      <c r="V137" s="6"/>
      <c r="W137" s="126"/>
      <c r="X137" s="9"/>
      <c r="Y137" s="9"/>
      <c r="Z137" s="82"/>
    </row>
    <row r="138" spans="1:26" ht="12.75">
      <c r="A138" s="26" t="s">
        <v>22</v>
      </c>
      <c r="B138" s="7">
        <v>34058</v>
      </c>
      <c r="C138" s="6" t="s">
        <v>19</v>
      </c>
      <c r="D138" s="29">
        <f>SUM(G138:M138)</f>
        <v>1505.89725</v>
      </c>
      <c r="E138" s="6"/>
      <c r="F138" s="6" t="s">
        <v>66</v>
      </c>
      <c r="G138" s="29">
        <f>5500000*B201</f>
        <v>231.6765</v>
      </c>
      <c r="H138" s="29">
        <f>5500000*B201</f>
        <v>231.6765</v>
      </c>
      <c r="I138" s="29">
        <f>5500000*B201</f>
        <v>231.6765</v>
      </c>
      <c r="J138" s="29">
        <f>5500000*B201</f>
        <v>231.6765</v>
      </c>
      <c r="K138" s="29">
        <f>5500000*B201</f>
        <v>231.6765</v>
      </c>
      <c r="L138" s="29">
        <f>5500000*B201</f>
        <v>231.6765</v>
      </c>
      <c r="M138" s="29">
        <f>2750000*B201</f>
        <v>115.83825</v>
      </c>
      <c r="N138" s="13"/>
      <c r="O138" s="29"/>
      <c r="P138" s="29"/>
      <c r="Q138" s="29"/>
      <c r="R138" s="29"/>
      <c r="S138" s="29"/>
      <c r="T138" s="6"/>
      <c r="U138" s="6"/>
      <c r="V138" s="6"/>
      <c r="W138" s="126"/>
      <c r="X138" s="6"/>
      <c r="Y138" s="6"/>
      <c r="Z138" s="83"/>
    </row>
    <row r="139" spans="1:26" ht="13.5" thickBot="1">
      <c r="A139" s="23" t="s">
        <v>23</v>
      </c>
      <c r="B139" s="41"/>
      <c r="C139" s="12"/>
      <c r="D139" s="12"/>
      <c r="E139" s="12"/>
      <c r="F139" s="12" t="s">
        <v>67</v>
      </c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12"/>
      <c r="U139" s="12"/>
      <c r="V139" s="12"/>
      <c r="W139" s="127"/>
      <c r="X139" s="12"/>
      <c r="Y139" s="12"/>
      <c r="Z139" s="85"/>
    </row>
    <row r="140" spans="1:26" s="2" customFormat="1" ht="14.25" thickBot="1" thickTop="1">
      <c r="A140" s="165" t="s">
        <v>68</v>
      </c>
      <c r="B140" s="14"/>
      <c r="C140" s="14"/>
      <c r="D140" s="31">
        <f>SUM(D138:D139)</f>
        <v>1505.89725</v>
      </c>
      <c r="E140" s="132"/>
      <c r="F140" s="177"/>
      <c r="G140" s="176">
        <f aca="true" t="shared" si="5" ref="G140:M140">SUM(G138:G139)</f>
        <v>231.6765</v>
      </c>
      <c r="H140" s="31">
        <f t="shared" si="5"/>
        <v>231.6765</v>
      </c>
      <c r="I140" s="31">
        <f t="shared" si="5"/>
        <v>231.6765</v>
      </c>
      <c r="J140" s="31">
        <f t="shared" si="5"/>
        <v>231.6765</v>
      </c>
      <c r="K140" s="31">
        <f t="shared" si="5"/>
        <v>231.6765</v>
      </c>
      <c r="L140" s="31">
        <f t="shared" si="5"/>
        <v>231.6765</v>
      </c>
      <c r="M140" s="31">
        <f t="shared" si="5"/>
        <v>115.83825</v>
      </c>
      <c r="N140" s="31"/>
      <c r="O140" s="31"/>
      <c r="P140" s="31"/>
      <c r="Q140" s="31"/>
      <c r="R140" s="31"/>
      <c r="S140" s="31"/>
      <c r="T140" s="14"/>
      <c r="U140" s="14"/>
      <c r="V140" s="14"/>
      <c r="W140" s="132"/>
      <c r="X140" s="14"/>
      <c r="Y140" s="14"/>
      <c r="Z140" s="190"/>
    </row>
    <row r="141" spans="1:27" s="1" customFormat="1" ht="12.75">
      <c r="A141" s="38"/>
      <c r="B141" s="38"/>
      <c r="C141" s="38"/>
      <c r="D141" s="39"/>
      <c r="E141" s="39"/>
      <c r="F141" s="9"/>
      <c r="G141" s="152"/>
      <c r="H141" s="183"/>
      <c r="I141" s="152"/>
      <c r="J141" s="183"/>
      <c r="K141" s="183"/>
      <c r="L141" s="183"/>
      <c r="M141" s="183"/>
      <c r="N141" s="198"/>
      <c r="O141" s="28"/>
      <c r="P141" s="28"/>
      <c r="Q141" s="28"/>
      <c r="R141" s="28"/>
      <c r="S141" s="28"/>
      <c r="T141" s="28"/>
      <c r="U141" s="9"/>
      <c r="V141" s="9"/>
      <c r="W141" s="9"/>
      <c r="X141" s="133"/>
      <c r="Y141" s="9"/>
      <c r="Z141" s="9"/>
      <c r="AA141" s="82"/>
    </row>
    <row r="142" spans="1:26" ht="12.75">
      <c r="A142" s="5" t="s">
        <v>38</v>
      </c>
      <c r="B142" s="7">
        <v>34582</v>
      </c>
      <c r="C142" s="6" t="s">
        <v>19</v>
      </c>
      <c r="D142" s="29">
        <f>SUM(G142:L142)</f>
        <v>157.96125</v>
      </c>
      <c r="E142" s="6"/>
      <c r="F142" s="6" t="s">
        <v>66</v>
      </c>
      <c r="G142" s="174">
        <f>625000*B201</f>
        <v>26.326875</v>
      </c>
      <c r="H142" s="28">
        <f>625000*B201</f>
        <v>26.326875</v>
      </c>
      <c r="I142" s="28">
        <f>625000*B201</f>
        <v>26.326875</v>
      </c>
      <c r="J142" s="28">
        <f>625000*B201</f>
        <v>26.326875</v>
      </c>
      <c r="K142" s="28">
        <f>625000*B201</f>
        <v>26.326875</v>
      </c>
      <c r="L142" s="28">
        <f>625000*B201</f>
        <v>26.326875</v>
      </c>
      <c r="M142" s="13"/>
      <c r="N142" s="28"/>
      <c r="O142" s="28"/>
      <c r="P142" s="28"/>
      <c r="Q142" s="28"/>
      <c r="R142" s="28"/>
      <c r="S142" s="28"/>
      <c r="T142" s="9"/>
      <c r="U142" s="9"/>
      <c r="V142" s="9"/>
      <c r="W142" s="133"/>
      <c r="X142" s="9"/>
      <c r="Y142" s="9"/>
      <c r="Z142" s="82"/>
    </row>
    <row r="143" spans="1:26" ht="12.75">
      <c r="A143" s="6" t="s">
        <v>17</v>
      </c>
      <c r="B143" s="7"/>
      <c r="C143" s="6"/>
      <c r="D143" s="6"/>
      <c r="E143" s="6"/>
      <c r="F143" s="6"/>
      <c r="G143" s="167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6"/>
      <c r="U143" s="6"/>
      <c r="V143" s="6"/>
      <c r="W143" s="126"/>
      <c r="X143" s="6"/>
      <c r="Y143" s="6"/>
      <c r="Z143" s="83"/>
    </row>
    <row r="144" spans="1:26" ht="12.75">
      <c r="A144" s="6"/>
      <c r="B144" s="7"/>
      <c r="C144" s="6" t="s">
        <v>18</v>
      </c>
      <c r="D144" s="29">
        <f>SUM(G144:L144)</f>
        <v>46.41130875</v>
      </c>
      <c r="E144" s="6"/>
      <c r="F144" s="6" t="s">
        <v>66</v>
      </c>
      <c r="G144" s="167">
        <f>160625*B200</f>
        <v>7.735218125</v>
      </c>
      <c r="H144" s="29">
        <f>160625*B200</f>
        <v>7.735218125</v>
      </c>
      <c r="I144" s="29">
        <f>160625*B200</f>
        <v>7.735218125</v>
      </c>
      <c r="J144" s="29">
        <f>160625*B200</f>
        <v>7.735218125</v>
      </c>
      <c r="K144" s="29">
        <f>160625*B200</f>
        <v>7.735218125</v>
      </c>
      <c r="L144" s="29">
        <f>160625*B200</f>
        <v>7.735218125</v>
      </c>
      <c r="M144" s="29"/>
      <c r="N144" s="29"/>
      <c r="O144" s="29"/>
      <c r="P144" s="29"/>
      <c r="Q144" s="29"/>
      <c r="R144" s="29"/>
      <c r="S144" s="29"/>
      <c r="T144" s="6"/>
      <c r="U144" s="6"/>
      <c r="V144" s="6"/>
      <c r="W144" s="126"/>
      <c r="X144" s="6"/>
      <c r="Y144" s="6"/>
      <c r="Z144" s="83"/>
    </row>
    <row r="145" spans="1:26" ht="12.75">
      <c r="A145" s="6"/>
      <c r="B145" s="7"/>
      <c r="C145" s="6"/>
      <c r="D145" s="6"/>
      <c r="E145" s="6"/>
      <c r="F145" s="6"/>
      <c r="G145" s="167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6"/>
      <c r="U145" s="6"/>
      <c r="V145" s="6"/>
      <c r="W145" s="126"/>
      <c r="X145" s="6"/>
      <c r="Y145" s="6"/>
      <c r="Z145" s="83"/>
    </row>
    <row r="146" spans="1:26" ht="12.75">
      <c r="A146" s="6"/>
      <c r="B146" s="7"/>
      <c r="C146" s="6" t="s">
        <v>19</v>
      </c>
      <c r="D146" s="29">
        <f>SUM(G146:L146)</f>
        <v>284.80308488730003</v>
      </c>
      <c r="E146" s="6"/>
      <c r="F146" s="6" t="s">
        <v>66</v>
      </c>
      <c r="G146" s="167">
        <f>1126870.85*B201</f>
        <v>47.467180814550005</v>
      </c>
      <c r="H146" s="29">
        <f>1126870.85*B201</f>
        <v>47.467180814550005</v>
      </c>
      <c r="I146" s="29">
        <f>1126870.85*B201</f>
        <v>47.467180814550005</v>
      </c>
      <c r="J146" s="29">
        <f>1126870.85*B201</f>
        <v>47.467180814550005</v>
      </c>
      <c r="K146" s="29">
        <f>1126870.85*B201</f>
        <v>47.467180814550005</v>
      </c>
      <c r="L146" s="29">
        <f>1126870.85*B201</f>
        <v>47.467180814550005</v>
      </c>
      <c r="M146" s="29"/>
      <c r="N146" s="29"/>
      <c r="O146" s="29"/>
      <c r="P146" s="29"/>
      <c r="Q146" s="29"/>
      <c r="R146" s="29"/>
      <c r="S146" s="29"/>
      <c r="T146" s="6"/>
      <c r="U146" s="6"/>
      <c r="V146" s="6"/>
      <c r="W146" s="126"/>
      <c r="X146" s="6"/>
      <c r="Y146" s="6"/>
      <c r="Z146" s="83"/>
    </row>
    <row r="147" spans="1:26" ht="13.5" thickBot="1">
      <c r="A147" s="23"/>
      <c r="B147" s="41"/>
      <c r="C147" s="12"/>
      <c r="D147" s="12"/>
      <c r="E147" s="12"/>
      <c r="F147" s="12" t="s">
        <v>67</v>
      </c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12"/>
      <c r="U147" s="12"/>
      <c r="V147" s="12"/>
      <c r="W147" s="127"/>
      <c r="X147" s="12"/>
      <c r="Y147" s="12"/>
      <c r="Z147" s="85"/>
    </row>
    <row r="148" spans="1:26" s="2" customFormat="1" ht="14.25" thickBot="1" thickTop="1">
      <c r="A148" s="165" t="s">
        <v>68</v>
      </c>
      <c r="B148" s="14"/>
      <c r="C148" s="14"/>
      <c r="D148" s="31">
        <f>SUM(D142:D147)</f>
        <v>489.1756436373</v>
      </c>
      <c r="E148" s="14"/>
      <c r="F148" s="14"/>
      <c r="G148" s="31">
        <f aca="true" t="shared" si="6" ref="G148:L148">SUM(G142:G147)</f>
        <v>81.52927393955001</v>
      </c>
      <c r="H148" s="31">
        <f t="shared" si="6"/>
        <v>81.52927393955001</v>
      </c>
      <c r="I148" s="31">
        <f t="shared" si="6"/>
        <v>81.52927393955001</v>
      </c>
      <c r="J148" s="31">
        <f t="shared" si="6"/>
        <v>81.52927393955001</v>
      </c>
      <c r="K148" s="31">
        <f t="shared" si="6"/>
        <v>81.52927393955001</v>
      </c>
      <c r="L148" s="31">
        <f t="shared" si="6"/>
        <v>81.52927393955001</v>
      </c>
      <c r="M148" s="31"/>
      <c r="N148" s="31"/>
      <c r="O148" s="31"/>
      <c r="P148" s="31"/>
      <c r="Q148" s="31"/>
      <c r="R148" s="31"/>
      <c r="S148" s="31"/>
      <c r="T148" s="14"/>
      <c r="U148" s="14"/>
      <c r="V148" s="14"/>
      <c r="W148" s="132"/>
      <c r="X148" s="24"/>
      <c r="Y148" s="24"/>
      <c r="Z148" s="86"/>
    </row>
    <row r="149" spans="1:23" ht="13.5" thickBot="1">
      <c r="A149" s="78"/>
      <c r="B149" s="13"/>
      <c r="C149" s="13"/>
      <c r="D149" s="13"/>
      <c r="E149" s="13"/>
      <c r="F149" s="178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51"/>
      <c r="T149" s="40"/>
      <c r="U149" s="40"/>
      <c r="V149" s="40"/>
      <c r="W149" s="40"/>
    </row>
    <row r="150" spans="1:26" ht="12.75">
      <c r="A150" s="144" t="s">
        <v>26</v>
      </c>
      <c r="B150" s="147">
        <v>36066</v>
      </c>
      <c r="C150" s="148" t="s">
        <v>19</v>
      </c>
      <c r="D150" s="104">
        <f>SUM(G150:I150)</f>
        <v>113.07002627151002</v>
      </c>
      <c r="E150" s="104"/>
      <c r="F150" s="36" t="s">
        <v>66</v>
      </c>
      <c r="G150" s="104">
        <f>894760.79*B201</f>
        <v>37.690008757170006</v>
      </c>
      <c r="H150" s="104">
        <f>894760.79*B201</f>
        <v>37.690008757170006</v>
      </c>
      <c r="I150" s="104">
        <f>894760.79*B201</f>
        <v>37.690008757170006</v>
      </c>
      <c r="J150" s="148"/>
      <c r="K150" s="104"/>
      <c r="L150" s="104"/>
      <c r="M150" s="104"/>
      <c r="N150" s="104"/>
      <c r="O150" s="104"/>
      <c r="P150" s="104"/>
      <c r="Q150" s="104"/>
      <c r="R150" s="104"/>
      <c r="S150" s="104"/>
      <c r="T150" s="148"/>
      <c r="U150" s="148"/>
      <c r="V150" s="148"/>
      <c r="W150" s="149"/>
      <c r="X150" s="148"/>
      <c r="Y150" s="148"/>
      <c r="Z150" s="150"/>
    </row>
    <row r="151" spans="1:26" ht="13.5" thickBot="1">
      <c r="A151" s="23"/>
      <c r="B151" s="41"/>
      <c r="C151" s="12"/>
      <c r="D151" s="12"/>
      <c r="E151" s="30">
        <f>SUM(G151:I151)</f>
        <v>17.19017768163</v>
      </c>
      <c r="F151" s="12" t="s">
        <v>67</v>
      </c>
      <c r="G151" s="30">
        <f>213763.95*B201</f>
        <v>9.00437886585</v>
      </c>
      <c r="H151" s="30">
        <f>136031.6*B201</f>
        <v>5.730059086800001</v>
      </c>
      <c r="I151" s="30">
        <f>58299.26*B201</f>
        <v>2.4557397289800003</v>
      </c>
      <c r="J151" s="12"/>
      <c r="K151" s="30"/>
      <c r="L151" s="30"/>
      <c r="M151" s="30"/>
      <c r="N151" s="30"/>
      <c r="O151" s="30"/>
      <c r="P151" s="30"/>
      <c r="Q151" s="30"/>
      <c r="R151" s="30"/>
      <c r="S151" s="30"/>
      <c r="T151" s="12"/>
      <c r="U151" s="12"/>
      <c r="V151" s="12"/>
      <c r="W151" s="127"/>
      <c r="X151" s="12"/>
      <c r="Y151" s="12"/>
      <c r="Z151" s="85"/>
    </row>
    <row r="152" spans="1:26" s="2" customFormat="1" ht="14.25" thickBot="1" thickTop="1">
      <c r="A152" s="165" t="s">
        <v>68</v>
      </c>
      <c r="B152" s="38"/>
      <c r="C152" s="38"/>
      <c r="D152" s="39">
        <f>SUM(D150:D151)</f>
        <v>113.07002627151002</v>
      </c>
      <c r="E152" s="39">
        <f>SUM(E150:E151)</f>
        <v>17.19017768163</v>
      </c>
      <c r="F152" s="9"/>
      <c r="G152" s="39">
        <f>SUM(G150:G151)</f>
        <v>46.694387623020006</v>
      </c>
      <c r="H152" s="39">
        <f>SUM(H150:H151)</f>
        <v>43.42006784397</v>
      </c>
      <c r="I152" s="39">
        <f>SUM(I150:I151)</f>
        <v>40.145748486150005</v>
      </c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8"/>
      <c r="U152" s="38"/>
      <c r="V152" s="38"/>
      <c r="W152" s="125"/>
      <c r="X152" s="38"/>
      <c r="Y152" s="38"/>
      <c r="Z152" s="87"/>
    </row>
    <row r="153" spans="1:26" s="1" customFormat="1" ht="13.5" thickBot="1">
      <c r="A153" s="27"/>
      <c r="B153" s="43"/>
      <c r="C153" s="43"/>
      <c r="D153" s="43"/>
      <c r="E153" s="43"/>
      <c r="F153" s="16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3"/>
      <c r="U153" s="43"/>
      <c r="V153" s="43"/>
      <c r="W153" s="134"/>
      <c r="X153" s="43"/>
      <c r="Y153" s="43"/>
      <c r="Z153" s="192"/>
    </row>
    <row r="154" spans="1:26" s="1" customFormat="1" ht="12.75">
      <c r="A154" s="46"/>
      <c r="B154" s="47"/>
      <c r="C154" s="47"/>
      <c r="D154" s="47"/>
      <c r="E154" s="179"/>
      <c r="F154" s="13"/>
      <c r="G154" s="180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10"/>
      <c r="U154" s="10"/>
      <c r="V154" s="10"/>
      <c r="W154" s="135"/>
      <c r="X154" s="10"/>
      <c r="Y154" s="10"/>
      <c r="Z154" s="191"/>
    </row>
    <row r="155" spans="1:26" ht="12.75">
      <c r="A155" s="34" t="s">
        <v>27</v>
      </c>
      <c r="B155" s="35">
        <v>36348</v>
      </c>
      <c r="C155" s="36" t="s">
        <v>19</v>
      </c>
      <c r="D155" s="29">
        <f>SUM(G155:R155)</f>
        <v>2060.320176</v>
      </c>
      <c r="E155" s="49"/>
      <c r="F155" s="36" t="s">
        <v>66</v>
      </c>
      <c r="G155" s="37">
        <f>4076000*B201</f>
        <v>171.69334800000001</v>
      </c>
      <c r="H155" s="37">
        <f>4076000*B201</f>
        <v>171.69334800000001</v>
      </c>
      <c r="I155" s="37">
        <f>4076000*B201</f>
        <v>171.69334800000001</v>
      </c>
      <c r="J155" s="37">
        <f>4076000*B201</f>
        <v>171.69334800000001</v>
      </c>
      <c r="K155" s="37">
        <f>4076000*B201</f>
        <v>171.69334800000001</v>
      </c>
      <c r="L155" s="37">
        <f>4076000*B201</f>
        <v>171.69334800000001</v>
      </c>
      <c r="M155" s="37">
        <f>4076000*B201</f>
        <v>171.69334800000001</v>
      </c>
      <c r="N155" s="37">
        <f>4076000*B201</f>
        <v>171.69334800000001</v>
      </c>
      <c r="O155" s="37">
        <f>4076000*B201</f>
        <v>171.69334800000001</v>
      </c>
      <c r="P155" s="37">
        <f>4076000*B201</f>
        <v>171.69334800000001</v>
      </c>
      <c r="Q155" s="37">
        <f>4076000*B201</f>
        <v>171.69334800000001</v>
      </c>
      <c r="R155" s="37">
        <f>4076000*B201</f>
        <v>171.69334800000001</v>
      </c>
      <c r="S155" s="6"/>
      <c r="T155" s="6"/>
      <c r="U155" s="6"/>
      <c r="V155" s="6"/>
      <c r="W155" s="126"/>
      <c r="X155" s="6"/>
      <c r="Y155" s="6"/>
      <c r="Z155" s="83"/>
    </row>
    <row r="156" spans="1:26" s="13" customFormat="1" ht="13.5" thickBot="1">
      <c r="A156" s="23" t="s">
        <v>17</v>
      </c>
      <c r="B156" s="12"/>
      <c r="C156" s="12"/>
      <c r="D156" s="12"/>
      <c r="E156" s="30">
        <f>SUM(G156:R156)</f>
        <v>333.771868512</v>
      </c>
      <c r="F156" s="12" t="s">
        <v>67</v>
      </c>
      <c r="G156" s="30">
        <f>1265598*B201</f>
        <v>53.310784554</v>
      </c>
      <c r="H156" s="30">
        <f>1155546*B201</f>
        <v>48.675064158000005</v>
      </c>
      <c r="I156" s="30">
        <f>1045494*B201</f>
        <v>44.039343762</v>
      </c>
      <c r="J156" s="30">
        <f>935442*B201</f>
        <v>39.403623366000005</v>
      </c>
      <c r="K156" s="30">
        <f>825390*B201</f>
        <v>34.76790297</v>
      </c>
      <c r="L156" s="30">
        <f>715338*B201</f>
        <v>30.132182574</v>
      </c>
      <c r="M156" s="30">
        <f>605286*B201</f>
        <v>25.496462178</v>
      </c>
      <c r="N156" s="30">
        <f>495234*B201</f>
        <v>20.860741782</v>
      </c>
      <c r="O156" s="30">
        <f>385182*B201</f>
        <v>16.225021386</v>
      </c>
      <c r="P156" s="30">
        <f>275130*B201</f>
        <v>11.589300990000002</v>
      </c>
      <c r="Q156" s="30">
        <f>165078*B201</f>
        <v>6.953580594000001</v>
      </c>
      <c r="R156" s="30">
        <f>55026*B201</f>
        <v>2.317860198</v>
      </c>
      <c r="S156" s="12"/>
      <c r="T156" s="12"/>
      <c r="U156" s="12"/>
      <c r="V156" s="12"/>
      <c r="W156" s="127"/>
      <c r="X156" s="12"/>
      <c r="Y156" s="12"/>
      <c r="Z156" s="85"/>
    </row>
    <row r="157" spans="1:26" s="40" customFormat="1" ht="14.25" thickBot="1" thickTop="1">
      <c r="A157" s="165" t="s">
        <v>68</v>
      </c>
      <c r="B157" s="14"/>
      <c r="C157" s="14"/>
      <c r="D157" s="31">
        <f>SUM(D155:D156)</f>
        <v>2060.320176</v>
      </c>
      <c r="E157" s="31">
        <f>SUM(E155:E156)</f>
        <v>333.771868512</v>
      </c>
      <c r="F157" s="25"/>
      <c r="G157" s="31">
        <f aca="true" t="shared" si="7" ref="G157:R157">SUM(G155:G156)</f>
        <v>225.00413255400002</v>
      </c>
      <c r="H157" s="31">
        <f t="shared" si="7"/>
        <v>220.368412158</v>
      </c>
      <c r="I157" s="31">
        <f t="shared" si="7"/>
        <v>215.732691762</v>
      </c>
      <c r="J157" s="31">
        <f t="shared" si="7"/>
        <v>211.09697136600002</v>
      </c>
      <c r="K157" s="31">
        <f t="shared" si="7"/>
        <v>206.46125097</v>
      </c>
      <c r="L157" s="31">
        <f t="shared" si="7"/>
        <v>201.82553057400003</v>
      </c>
      <c r="M157" s="31">
        <f t="shared" si="7"/>
        <v>197.18981017800002</v>
      </c>
      <c r="N157" s="31">
        <f t="shared" si="7"/>
        <v>192.554089782</v>
      </c>
      <c r="O157" s="31">
        <f t="shared" si="7"/>
        <v>187.91836938600002</v>
      </c>
      <c r="P157" s="31">
        <f t="shared" si="7"/>
        <v>183.28264899</v>
      </c>
      <c r="Q157" s="31">
        <f t="shared" si="7"/>
        <v>178.646928594</v>
      </c>
      <c r="R157" s="31">
        <f t="shared" si="7"/>
        <v>174.01120819800002</v>
      </c>
      <c r="S157" s="31"/>
      <c r="T157" s="14"/>
      <c r="U157" s="14"/>
      <c r="V157" s="14"/>
      <c r="W157" s="132"/>
      <c r="X157" s="24"/>
      <c r="Y157" s="24"/>
      <c r="Z157" s="86"/>
    </row>
    <row r="158" spans="1:19" s="40" customFormat="1" ht="13.5" thickBot="1">
      <c r="A158" s="13"/>
      <c r="B158" s="13"/>
      <c r="C158" s="13"/>
      <c r="D158" s="13"/>
      <c r="E158" s="13"/>
      <c r="F158" s="9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1"/>
    </row>
    <row r="159" spans="1:45" s="1" customFormat="1" ht="12.75" customHeight="1">
      <c r="A159" s="159" t="s">
        <v>58</v>
      </c>
      <c r="B159" s="15" t="s">
        <v>59</v>
      </c>
      <c r="C159" s="16" t="s">
        <v>60</v>
      </c>
      <c r="D159" s="15" t="s">
        <v>61</v>
      </c>
      <c r="E159" s="17"/>
      <c r="F159" s="16"/>
      <c r="G159" s="18"/>
      <c r="H159" s="18"/>
      <c r="I159" s="18" t="s">
        <v>62</v>
      </c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81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</row>
    <row r="160" spans="1:45" s="1" customFormat="1" ht="12.75">
      <c r="A160" s="19"/>
      <c r="B160" s="3" t="s">
        <v>63</v>
      </c>
      <c r="C160" s="8"/>
      <c r="D160" s="135" t="s">
        <v>64</v>
      </c>
      <c r="E160" s="160"/>
      <c r="F160" s="8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94"/>
      <c r="T160" s="94"/>
      <c r="U160" s="94"/>
      <c r="V160" s="94"/>
      <c r="W160" s="94"/>
      <c r="X160" s="94"/>
      <c r="Y160" s="94"/>
      <c r="Z160" s="95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</row>
    <row r="161" spans="1:45" ht="13.5" thickBot="1">
      <c r="A161" s="20"/>
      <c r="B161" s="129" t="s">
        <v>65</v>
      </c>
      <c r="C161" s="11"/>
      <c r="D161" s="12" t="s">
        <v>66</v>
      </c>
      <c r="E161" s="12" t="s">
        <v>67</v>
      </c>
      <c r="F161" s="11"/>
      <c r="G161" s="65">
        <v>2002</v>
      </c>
      <c r="H161" s="65">
        <v>2003</v>
      </c>
      <c r="I161" s="65">
        <v>2004</v>
      </c>
      <c r="J161" s="65">
        <v>2005</v>
      </c>
      <c r="K161" s="65">
        <v>2006</v>
      </c>
      <c r="L161" s="65">
        <v>2007</v>
      </c>
      <c r="M161" s="65">
        <v>2008</v>
      </c>
      <c r="N161" s="65">
        <v>2009</v>
      </c>
      <c r="O161" s="65">
        <v>2010</v>
      </c>
      <c r="P161" s="65">
        <v>2011</v>
      </c>
      <c r="Q161" s="65">
        <v>2012</v>
      </c>
      <c r="R161" s="65">
        <v>2013</v>
      </c>
      <c r="S161" s="70">
        <v>2014</v>
      </c>
      <c r="T161" s="66">
        <v>2015</v>
      </c>
      <c r="U161" s="66">
        <v>2016</v>
      </c>
      <c r="V161" s="66">
        <v>2017</v>
      </c>
      <c r="W161" s="66">
        <v>2018</v>
      </c>
      <c r="X161" s="66">
        <v>2019</v>
      </c>
      <c r="Y161" s="66">
        <v>2020</v>
      </c>
      <c r="Z161" s="161">
        <v>2021</v>
      </c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</row>
    <row r="162" spans="1:26" s="40" customFormat="1" ht="13.5" thickTop="1">
      <c r="A162" s="42"/>
      <c r="B162" s="9"/>
      <c r="C162" s="9"/>
      <c r="D162" s="9"/>
      <c r="E162" s="9"/>
      <c r="F162" s="10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62"/>
      <c r="U162" s="62"/>
      <c r="V162" s="62"/>
      <c r="W162" s="130"/>
      <c r="X162" s="38"/>
      <c r="Y162" s="38"/>
      <c r="Z162" s="87"/>
    </row>
    <row r="163" spans="1:26" s="40" customFormat="1" ht="12.75">
      <c r="A163" s="26" t="s">
        <v>32</v>
      </c>
      <c r="B163" s="7">
        <v>36644</v>
      </c>
      <c r="C163" s="6" t="s">
        <v>18</v>
      </c>
      <c r="D163" s="29">
        <f>SUM(G163:M163)</f>
        <v>74.547036</v>
      </c>
      <c r="E163" s="29"/>
      <c r="F163" s="53" t="s">
        <v>66</v>
      </c>
      <c r="H163" s="29">
        <f>1548000*B200</f>
        <v>74.547036</v>
      </c>
      <c r="I163" s="29"/>
      <c r="J163" s="29"/>
      <c r="K163" s="29"/>
      <c r="L163" s="29"/>
      <c r="M163" s="29"/>
      <c r="N163" s="6"/>
      <c r="O163" s="29"/>
      <c r="P163" s="29"/>
      <c r="Q163" s="29"/>
      <c r="R163" s="29"/>
      <c r="S163" s="29"/>
      <c r="T163" s="62"/>
      <c r="U163" s="62"/>
      <c r="V163" s="62"/>
      <c r="W163" s="130"/>
      <c r="X163" s="62"/>
      <c r="Y163" s="62"/>
      <c r="Z163" s="88"/>
    </row>
    <row r="164" spans="1:26" s="40" customFormat="1" ht="13.5" thickBot="1">
      <c r="A164" s="23" t="s">
        <v>30</v>
      </c>
      <c r="B164" s="41"/>
      <c r="C164" s="12"/>
      <c r="D164" s="12"/>
      <c r="E164" s="30"/>
      <c r="F164" s="12"/>
      <c r="G164" s="30"/>
      <c r="H164" s="30"/>
      <c r="I164" s="30"/>
      <c r="J164" s="30"/>
      <c r="K164" s="30"/>
      <c r="L164" s="30"/>
      <c r="M164" s="30"/>
      <c r="N164" s="12"/>
      <c r="O164" s="30"/>
      <c r="P164" s="30"/>
      <c r="Q164" s="30"/>
      <c r="R164" s="30"/>
      <c r="S164" s="30"/>
      <c r="T164" s="60"/>
      <c r="U164" s="60"/>
      <c r="V164" s="60"/>
      <c r="W164" s="124"/>
      <c r="X164" s="60"/>
      <c r="Y164" s="60"/>
      <c r="Z164" s="92"/>
    </row>
    <row r="165" spans="1:26" s="40" customFormat="1" ht="14.25" thickBot="1" thickTop="1">
      <c r="A165" s="165" t="s">
        <v>68</v>
      </c>
      <c r="B165" s="14"/>
      <c r="C165" s="14"/>
      <c r="D165" s="31">
        <f>SUM(D163:D164)</f>
        <v>74.547036</v>
      </c>
      <c r="E165" s="31"/>
      <c r="F165" s="75"/>
      <c r="G165" s="31"/>
      <c r="H165" s="31">
        <f>SUM(H163:H164)</f>
        <v>74.547036</v>
      </c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14"/>
      <c r="U165" s="14"/>
      <c r="V165" s="14"/>
      <c r="W165" s="132"/>
      <c r="X165" s="24"/>
      <c r="Y165" s="24"/>
      <c r="Z165" s="86"/>
    </row>
    <row r="166" spans="2:19" s="40" customFormat="1" ht="13.5" thickBot="1">
      <c r="B166" s="4"/>
      <c r="C166" s="4"/>
      <c r="D166" s="4"/>
      <c r="E166" s="4"/>
      <c r="F166" s="9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</row>
    <row r="167" spans="1:45" s="1" customFormat="1" ht="12.75" customHeight="1">
      <c r="A167" s="159" t="s">
        <v>58</v>
      </c>
      <c r="B167" s="15" t="s">
        <v>59</v>
      </c>
      <c r="C167" s="16" t="s">
        <v>60</v>
      </c>
      <c r="D167" s="15" t="s">
        <v>61</v>
      </c>
      <c r="E167" s="17"/>
      <c r="F167" s="16"/>
      <c r="G167" s="18"/>
      <c r="H167" s="18"/>
      <c r="I167" s="18" t="s">
        <v>62</v>
      </c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81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</row>
    <row r="168" spans="1:45" s="1" customFormat="1" ht="12.75">
      <c r="A168" s="19"/>
      <c r="B168" s="3" t="s">
        <v>63</v>
      </c>
      <c r="C168" s="8"/>
      <c r="D168" s="135" t="s">
        <v>64</v>
      </c>
      <c r="E168" s="160"/>
      <c r="F168" s="8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94"/>
      <c r="T168" s="94"/>
      <c r="U168" s="94"/>
      <c r="V168" s="94"/>
      <c r="W168" s="94"/>
      <c r="X168" s="94"/>
      <c r="Y168" s="94"/>
      <c r="Z168" s="95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</row>
    <row r="169" spans="1:45" ht="13.5" thickBot="1">
      <c r="A169" s="20"/>
      <c r="B169" s="129" t="s">
        <v>65</v>
      </c>
      <c r="C169" s="11"/>
      <c r="D169" s="12" t="s">
        <v>66</v>
      </c>
      <c r="E169" s="12" t="s">
        <v>67</v>
      </c>
      <c r="F169" s="12"/>
      <c r="G169" s="65">
        <v>2002</v>
      </c>
      <c r="H169" s="65">
        <v>2003</v>
      </c>
      <c r="I169" s="65">
        <v>2004</v>
      </c>
      <c r="J169" s="65">
        <v>2005</v>
      </c>
      <c r="K169" s="65">
        <v>2006</v>
      </c>
      <c r="L169" s="65">
        <v>2007</v>
      </c>
      <c r="M169" s="65">
        <v>2008</v>
      </c>
      <c r="N169" s="65">
        <v>2009</v>
      </c>
      <c r="O169" s="65">
        <v>2010</v>
      </c>
      <c r="P169" s="65">
        <v>2011</v>
      </c>
      <c r="Q169" s="65">
        <v>2012</v>
      </c>
      <c r="R169" s="65">
        <v>2013</v>
      </c>
      <c r="S169" s="70">
        <v>2014</v>
      </c>
      <c r="T169" s="66">
        <v>2015</v>
      </c>
      <c r="U169" s="66">
        <v>2016</v>
      </c>
      <c r="V169" s="66">
        <v>2017</v>
      </c>
      <c r="W169" s="66">
        <v>2018</v>
      </c>
      <c r="X169" s="66">
        <v>2019</v>
      </c>
      <c r="Y169" s="66">
        <v>2020</v>
      </c>
      <c r="Z169" s="161">
        <v>2021</v>
      </c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</row>
    <row r="170" spans="1:26" s="40" customFormat="1" ht="13.5" thickTop="1">
      <c r="A170" s="26" t="s">
        <v>33</v>
      </c>
      <c r="B170" s="7">
        <v>36704</v>
      </c>
      <c r="C170" s="6" t="s">
        <v>19</v>
      </c>
      <c r="D170" s="29">
        <f>SUM(G170:O170)</f>
        <v>258.803712</v>
      </c>
      <c r="E170" s="29"/>
      <c r="F170" s="36" t="s">
        <v>66</v>
      </c>
      <c r="G170" s="29"/>
      <c r="H170" s="29"/>
      <c r="I170" s="29"/>
      <c r="J170" s="6"/>
      <c r="K170" s="29">
        <f>1228800*B201</f>
        <v>51.760742400000005</v>
      </c>
      <c r="L170" s="29">
        <f>1228800*B201</f>
        <v>51.760742400000005</v>
      </c>
      <c r="M170" s="29">
        <f>1228800*B201</f>
        <v>51.760742400000005</v>
      </c>
      <c r="N170" s="29">
        <f>1228800*B201</f>
        <v>51.760742400000005</v>
      </c>
      <c r="O170" s="29">
        <f>1228800*B201</f>
        <v>51.760742400000005</v>
      </c>
      <c r="P170" s="29"/>
      <c r="Q170" s="29"/>
      <c r="R170" s="29"/>
      <c r="S170" s="29"/>
      <c r="T170" s="62"/>
      <c r="U170" s="62"/>
      <c r="V170" s="62"/>
      <c r="W170" s="130"/>
      <c r="X170" s="38"/>
      <c r="Y170" s="38"/>
      <c r="Z170" s="87"/>
    </row>
    <row r="171" spans="1:26" s="40" customFormat="1" ht="12.75">
      <c r="A171" s="6" t="s">
        <v>51</v>
      </c>
      <c r="B171" s="7"/>
      <c r="C171" s="6"/>
      <c r="D171" s="6"/>
      <c r="E171" s="29">
        <f>SUM(G171:K171)</f>
        <v>44.828770905</v>
      </c>
      <c r="F171" s="6" t="s">
        <v>67</v>
      </c>
      <c r="G171" s="29">
        <f>236715*B201</f>
        <v>9.971145945</v>
      </c>
      <c r="H171" s="29">
        <f>236715*B201</f>
        <v>9.971145945</v>
      </c>
      <c r="I171" s="29">
        <f>236715*B201</f>
        <v>9.971145945</v>
      </c>
      <c r="J171" s="29">
        <f>236715*B201</f>
        <v>9.971145945</v>
      </c>
      <c r="K171" s="29">
        <f>117375*B201</f>
        <v>4.944187125</v>
      </c>
      <c r="L171" s="29"/>
      <c r="M171" s="29"/>
      <c r="N171" s="29"/>
      <c r="O171" s="29"/>
      <c r="P171" s="29"/>
      <c r="Q171" s="29"/>
      <c r="R171" s="29"/>
      <c r="S171" s="29"/>
      <c r="T171" s="62"/>
      <c r="U171" s="62"/>
      <c r="V171" s="62"/>
      <c r="W171" s="62"/>
      <c r="X171" s="62"/>
      <c r="Y171" s="62"/>
      <c r="Z171" s="88"/>
    </row>
    <row r="172" spans="1:26" s="40" customFormat="1" ht="12.75">
      <c r="A172" s="21" t="s">
        <v>33</v>
      </c>
      <c r="B172" s="55">
        <v>37153</v>
      </c>
      <c r="C172" s="9" t="s">
        <v>19</v>
      </c>
      <c r="D172" s="28">
        <f>SUM(G172:P172)</f>
        <v>338.66892</v>
      </c>
      <c r="E172" s="54"/>
      <c r="F172" s="53" t="s">
        <v>66</v>
      </c>
      <c r="G172" s="54"/>
      <c r="H172" s="54"/>
      <c r="I172" s="54"/>
      <c r="J172" s="54"/>
      <c r="K172" s="54"/>
      <c r="L172" s="29">
        <f>1608000*B201</f>
        <v>67.733784</v>
      </c>
      <c r="M172" s="29">
        <f>1608000*B201</f>
        <v>67.733784</v>
      </c>
      <c r="N172" s="29">
        <f>1608000*B201</f>
        <v>67.733784</v>
      </c>
      <c r="O172" s="29">
        <f>1608000*B201</f>
        <v>67.733784</v>
      </c>
      <c r="P172" s="29">
        <f>1608000*B201</f>
        <v>67.733784</v>
      </c>
      <c r="Q172" s="29"/>
      <c r="R172" s="29"/>
      <c r="S172" s="29"/>
      <c r="T172" s="62"/>
      <c r="U172" s="62"/>
      <c r="V172" s="62"/>
      <c r="W172" s="62"/>
      <c r="X172" s="62"/>
      <c r="Y172" s="62"/>
      <c r="Z172" s="87"/>
    </row>
    <row r="173" spans="1:26" s="40" customFormat="1" ht="13.5" thickBot="1">
      <c r="A173" s="23" t="s">
        <v>51</v>
      </c>
      <c r="B173" s="67"/>
      <c r="C173" s="53"/>
      <c r="D173" s="53"/>
      <c r="E173" s="30">
        <f>SUM(G173:K173)</f>
        <v>63.1845</v>
      </c>
      <c r="F173" s="163" t="s">
        <v>67</v>
      </c>
      <c r="G173" s="30">
        <f>300000*B201</f>
        <v>12.6369</v>
      </c>
      <c r="H173" s="30">
        <f>300000*B201</f>
        <v>12.6369</v>
      </c>
      <c r="I173" s="30">
        <f>300000*B201</f>
        <v>12.6369</v>
      </c>
      <c r="J173" s="30">
        <f>300000*B201</f>
        <v>12.6369</v>
      </c>
      <c r="K173" s="30">
        <f>300000*B201</f>
        <v>12.6369</v>
      </c>
      <c r="L173" s="54"/>
      <c r="M173" s="54"/>
      <c r="N173" s="54"/>
      <c r="O173" s="54"/>
      <c r="P173" s="54"/>
      <c r="Q173" s="54"/>
      <c r="R173" s="54"/>
      <c r="S173" s="54"/>
      <c r="T173" s="56"/>
      <c r="U173" s="56"/>
      <c r="V173" s="56"/>
      <c r="W173" s="131"/>
      <c r="X173" s="193"/>
      <c r="Y173" s="193"/>
      <c r="Z173" s="92"/>
    </row>
    <row r="174" spans="1:26" s="40" customFormat="1" ht="14.25" thickBot="1" thickTop="1">
      <c r="A174" s="165" t="s">
        <v>68</v>
      </c>
      <c r="B174" s="14"/>
      <c r="C174" s="14"/>
      <c r="D174" s="31">
        <f>SUM(D170:D173)</f>
        <v>597.472632</v>
      </c>
      <c r="E174" s="31">
        <f>SUM(E170:E173)</f>
        <v>108.013270905</v>
      </c>
      <c r="F174" s="181"/>
      <c r="G174" s="31">
        <f aca="true" t="shared" si="8" ref="G174:P174">SUM(G170:G173)</f>
        <v>22.608045945</v>
      </c>
      <c r="H174" s="31">
        <f t="shared" si="8"/>
        <v>22.608045945</v>
      </c>
      <c r="I174" s="31">
        <f t="shared" si="8"/>
        <v>22.608045945</v>
      </c>
      <c r="J174" s="31">
        <f t="shared" si="8"/>
        <v>22.608045945</v>
      </c>
      <c r="K174" s="31">
        <f t="shared" si="8"/>
        <v>69.34182952500001</v>
      </c>
      <c r="L174" s="31">
        <f t="shared" si="8"/>
        <v>119.49452640000001</v>
      </c>
      <c r="M174" s="31">
        <f t="shared" si="8"/>
        <v>119.49452640000001</v>
      </c>
      <c r="N174" s="31">
        <f t="shared" si="8"/>
        <v>119.49452640000001</v>
      </c>
      <c r="O174" s="31">
        <f t="shared" si="8"/>
        <v>119.49452640000001</v>
      </c>
      <c r="P174" s="31">
        <f t="shared" si="8"/>
        <v>67.733784</v>
      </c>
      <c r="Q174" s="31"/>
      <c r="R174" s="31"/>
      <c r="S174" s="31"/>
      <c r="T174" s="14"/>
      <c r="U174" s="14"/>
      <c r="V174" s="14"/>
      <c r="W174" s="132"/>
      <c r="X174" s="24"/>
      <c r="Y174" s="24"/>
      <c r="Z174" s="86"/>
    </row>
    <row r="175" spans="1:19" s="40" customFormat="1" ht="12.75">
      <c r="A175" s="13"/>
      <c r="B175" s="4"/>
      <c r="C175" s="4"/>
      <c r="D175" s="4"/>
      <c r="E175" s="4"/>
      <c r="F175" s="4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</row>
    <row r="176" spans="1:19" s="40" customFormat="1" ht="12.75">
      <c r="A176" s="13"/>
      <c r="B176" s="4"/>
      <c r="C176" s="4"/>
      <c r="D176" s="4"/>
      <c r="E176" s="4"/>
      <c r="F176" s="4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</row>
    <row r="177" spans="1:19" s="40" customFormat="1" ht="12.75">
      <c r="A177" s="13"/>
      <c r="B177" s="4"/>
      <c r="C177" s="4"/>
      <c r="D177" s="4"/>
      <c r="E177" s="4"/>
      <c r="F177" s="4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</row>
    <row r="178" spans="1:19" s="40" customFormat="1" ht="12.75">
      <c r="A178" s="13"/>
      <c r="B178" s="4"/>
      <c r="C178" s="4"/>
      <c r="D178" s="4"/>
      <c r="E178" s="4"/>
      <c r="F178" s="4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</row>
    <row r="179" spans="1:19" s="40" customFormat="1" ht="12.75">
      <c r="A179" s="13"/>
      <c r="B179" s="4"/>
      <c r="C179" s="4"/>
      <c r="D179" s="4"/>
      <c r="E179" s="4"/>
      <c r="F179" s="4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</row>
    <row r="180" spans="1:19" s="40" customFormat="1" ht="12.75">
      <c r="A180" s="13"/>
      <c r="B180" s="4"/>
      <c r="C180" s="4"/>
      <c r="D180" s="4"/>
      <c r="E180" s="4"/>
      <c r="F180" s="13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</row>
    <row r="181" spans="1:19" s="40" customFormat="1" ht="13.5" thickBot="1">
      <c r="A181" s="13"/>
      <c r="B181" s="4"/>
      <c r="C181" s="4"/>
      <c r="D181" s="4"/>
      <c r="E181" s="4"/>
      <c r="F181" s="107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</row>
    <row r="182" spans="1:26" s="40" customFormat="1" ht="12.75">
      <c r="A182" s="151"/>
      <c r="B182" s="105"/>
      <c r="C182" s="105"/>
      <c r="D182" s="152"/>
      <c r="E182" s="182"/>
      <c r="F182" s="13"/>
      <c r="G182" s="183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05"/>
      <c r="U182" s="105"/>
      <c r="V182" s="105"/>
      <c r="W182" s="139"/>
      <c r="X182" s="105"/>
      <c r="Y182" s="105"/>
      <c r="Z182" s="106"/>
    </row>
    <row r="183" spans="1:26" ht="12.75">
      <c r="A183" s="26" t="s">
        <v>47</v>
      </c>
      <c r="B183" s="7">
        <v>36048</v>
      </c>
      <c r="C183" s="6" t="s">
        <v>19</v>
      </c>
      <c r="D183" s="29">
        <f>SUM(G183:M183)</f>
        <v>874.9466346008701</v>
      </c>
      <c r="E183" s="74"/>
      <c r="F183" s="6" t="s">
        <v>66</v>
      </c>
      <c r="G183" s="167">
        <f>3195574.26*B201</f>
        <v>134.60717455398</v>
      </c>
      <c r="H183" s="29">
        <f>3195574.26*B201</f>
        <v>134.60717455398</v>
      </c>
      <c r="I183" s="29">
        <f>3195574.26*B201</f>
        <v>134.60717455398</v>
      </c>
      <c r="J183" s="29">
        <f>3195574.26*B201</f>
        <v>134.60717455398</v>
      </c>
      <c r="K183" s="29">
        <f>3195574.26*B201</f>
        <v>134.60717455398</v>
      </c>
      <c r="L183" s="29">
        <f>3195574.26*B201</f>
        <v>134.60717455398</v>
      </c>
      <c r="M183" s="29">
        <f>1597787.13*B201</f>
        <v>67.30358727699</v>
      </c>
      <c r="N183" s="6"/>
      <c r="O183" s="29"/>
      <c r="P183" s="29"/>
      <c r="Q183" s="29"/>
      <c r="R183" s="29"/>
      <c r="S183" s="29"/>
      <c r="T183" s="6"/>
      <c r="U183" s="6"/>
      <c r="V183" s="6"/>
      <c r="W183" s="126"/>
      <c r="X183" s="6"/>
      <c r="Y183" s="6"/>
      <c r="Z183" s="83"/>
    </row>
    <row r="184" spans="1:26" ht="12.75">
      <c r="A184" s="22" t="s">
        <v>12</v>
      </c>
      <c r="B184" s="7"/>
      <c r="C184" s="6"/>
      <c r="D184" s="6"/>
      <c r="E184" s="29">
        <f>SUM(G184:M184)</f>
        <v>137.77505288187</v>
      </c>
      <c r="F184" s="6" t="s">
        <v>67</v>
      </c>
      <c r="G184" s="29">
        <f>898656.76*B201</f>
        <v>37.854118701480004</v>
      </c>
      <c r="H184" s="29">
        <f>754855.92*B201</f>
        <v>31.796795918160004</v>
      </c>
      <c r="I184" s="29">
        <f>611055.09*B201</f>
        <v>25.73947355607</v>
      </c>
      <c r="J184" s="29">
        <f>467254.24*B201</f>
        <v>19.68215035152</v>
      </c>
      <c r="K184" s="29">
        <f>323453.4*B201</f>
        <v>13.624827568200002</v>
      </c>
      <c r="L184" s="29">
        <f>179652.56*B201</f>
        <v>7.567504784880001</v>
      </c>
      <c r="M184" s="29">
        <f>35851.72*B201</f>
        <v>1.5101820015600003</v>
      </c>
      <c r="N184" s="6"/>
      <c r="O184" s="29"/>
      <c r="P184" s="29"/>
      <c r="Q184" s="29"/>
      <c r="R184" s="29"/>
      <c r="S184" s="29"/>
      <c r="T184" s="6"/>
      <c r="U184" s="6"/>
      <c r="V184" s="6"/>
      <c r="W184" s="126"/>
      <c r="X184" s="6"/>
      <c r="Y184" s="6"/>
      <c r="Z184" s="83"/>
    </row>
    <row r="185" spans="1:26" ht="12.75">
      <c r="A185" s="26" t="s">
        <v>47</v>
      </c>
      <c r="B185" s="67">
        <v>36881</v>
      </c>
      <c r="C185" s="53" t="s">
        <v>19</v>
      </c>
      <c r="D185" s="29">
        <f>SUM(G185:W185)</f>
        <v>1390.059</v>
      </c>
      <c r="E185" s="54"/>
      <c r="F185" s="9" t="s">
        <v>66</v>
      </c>
      <c r="G185" s="29"/>
      <c r="H185" s="29"/>
      <c r="I185" s="29">
        <f>2200000*B201</f>
        <v>92.67060000000001</v>
      </c>
      <c r="J185" s="29">
        <f>2200000*B201</f>
        <v>92.67060000000001</v>
      </c>
      <c r="K185" s="29">
        <f>2200000*B201</f>
        <v>92.67060000000001</v>
      </c>
      <c r="L185" s="29">
        <f>2200000*B201</f>
        <v>92.67060000000001</v>
      </c>
      <c r="M185" s="29">
        <f>2200000*B201</f>
        <v>92.67060000000001</v>
      </c>
      <c r="N185" s="29">
        <f>2200000*B201</f>
        <v>92.67060000000001</v>
      </c>
      <c r="O185" s="29">
        <f>2200000*B201</f>
        <v>92.67060000000001</v>
      </c>
      <c r="P185" s="29">
        <f>2200000*B201</f>
        <v>92.67060000000001</v>
      </c>
      <c r="Q185" s="29">
        <f>2200000*B201</f>
        <v>92.67060000000001</v>
      </c>
      <c r="R185" s="29">
        <f>2200000*B201</f>
        <v>92.67060000000001</v>
      </c>
      <c r="S185" s="29">
        <f>2200000*B201</f>
        <v>92.67060000000001</v>
      </c>
      <c r="T185" s="29">
        <f>2200000*B201</f>
        <v>92.67060000000001</v>
      </c>
      <c r="U185" s="29">
        <f>2200000*B201</f>
        <v>92.67060000000001</v>
      </c>
      <c r="V185" s="29">
        <f>2200000*B201</f>
        <v>92.67060000000001</v>
      </c>
      <c r="W185" s="74">
        <f>2200000*B201</f>
        <v>92.67060000000001</v>
      </c>
      <c r="X185" s="6"/>
      <c r="Y185" s="6"/>
      <c r="Z185" s="83"/>
    </row>
    <row r="186" spans="1:26" ht="12.75">
      <c r="A186" s="26" t="s">
        <v>12</v>
      </c>
      <c r="B186" s="7"/>
      <c r="C186" s="6"/>
      <c r="D186" s="53"/>
      <c r="E186" s="29">
        <f>SUM(G186:T186)</f>
        <v>3.6110624142600014</v>
      </c>
      <c r="F186" s="53" t="s">
        <v>67</v>
      </c>
      <c r="G186" s="29">
        <f>6123.33*B201</f>
        <v>0.25793302959000003</v>
      </c>
      <c r="H186" s="29">
        <f>6123.33*B201</f>
        <v>0.25793302959000003</v>
      </c>
      <c r="I186" s="29">
        <f>6123.33*B201</f>
        <v>0.25793302959000003</v>
      </c>
      <c r="J186" s="29">
        <f>6123.33*B201</f>
        <v>0.25793302959000003</v>
      </c>
      <c r="K186" s="29">
        <f>6123.33*B201</f>
        <v>0.25793302959000003</v>
      </c>
      <c r="L186" s="29">
        <f>6123.33*B201</f>
        <v>0.25793302959000003</v>
      </c>
      <c r="M186" s="29">
        <f>6123.33*B201</f>
        <v>0.25793302959000003</v>
      </c>
      <c r="N186" s="29">
        <f>6123.33*B201</f>
        <v>0.25793302959000003</v>
      </c>
      <c r="O186" s="29">
        <f>6123.33*B201</f>
        <v>0.25793302959000003</v>
      </c>
      <c r="P186" s="29">
        <f>6123.33*B201</f>
        <v>0.25793302959000003</v>
      </c>
      <c r="Q186" s="29">
        <f>6123.33*B201</f>
        <v>0.25793302959000003</v>
      </c>
      <c r="R186" s="29">
        <f>6123.33*B201</f>
        <v>0.25793302959000003</v>
      </c>
      <c r="S186" s="29">
        <f>6123.33*B201</f>
        <v>0.25793302959000003</v>
      </c>
      <c r="T186" s="29">
        <f>6123.33*B201</f>
        <v>0.25793302959000003</v>
      </c>
      <c r="U186" s="6"/>
      <c r="V186" s="6"/>
      <c r="W186" s="126"/>
      <c r="X186" s="6"/>
      <c r="Y186" s="6"/>
      <c r="Z186" s="83"/>
    </row>
    <row r="187" spans="1:26" ht="12.75">
      <c r="A187" s="26"/>
      <c r="B187" s="55">
        <v>36881</v>
      </c>
      <c r="C187" s="9" t="s">
        <v>19</v>
      </c>
      <c r="D187" s="29">
        <f>SUM(G187:R187)</f>
        <v>294.861</v>
      </c>
      <c r="E187" s="54"/>
      <c r="F187" s="53" t="s">
        <v>66</v>
      </c>
      <c r="G187" s="29"/>
      <c r="H187" s="29"/>
      <c r="I187" s="29">
        <f>700000*B201</f>
        <v>29.4861</v>
      </c>
      <c r="J187" s="29">
        <f>700000*B201</f>
        <v>29.4861</v>
      </c>
      <c r="K187" s="29">
        <f>700000*B201</f>
        <v>29.4861</v>
      </c>
      <c r="L187" s="29">
        <f>700000*B201</f>
        <v>29.4861</v>
      </c>
      <c r="M187" s="29">
        <f>700000*B201</f>
        <v>29.4861</v>
      </c>
      <c r="N187" s="29">
        <f>700000*B201</f>
        <v>29.4861</v>
      </c>
      <c r="O187" s="29">
        <f>700000*B201</f>
        <v>29.4861</v>
      </c>
      <c r="P187" s="29">
        <f>700000*B201</f>
        <v>29.4861</v>
      </c>
      <c r="Q187" s="29">
        <f>700000*B201</f>
        <v>29.4861</v>
      </c>
      <c r="R187" s="29">
        <f>700000*B201</f>
        <v>29.4861</v>
      </c>
      <c r="S187" s="29"/>
      <c r="T187" s="6"/>
      <c r="U187" s="6"/>
      <c r="V187" s="6"/>
      <c r="W187" s="126"/>
      <c r="X187" s="6"/>
      <c r="Y187" s="6"/>
      <c r="Z187" s="83"/>
    </row>
    <row r="188" spans="1:26" ht="13.5" thickBot="1">
      <c r="A188" s="23"/>
      <c r="B188" s="41"/>
      <c r="C188" s="12"/>
      <c r="D188" s="12"/>
      <c r="E188" s="30">
        <f>SUM(G188:O188)</f>
        <v>0.5071579713900001</v>
      </c>
      <c r="F188" s="12" t="s">
        <v>67</v>
      </c>
      <c r="G188" s="30">
        <f>1337.77*B201</f>
        <v>0.05635088571000001</v>
      </c>
      <c r="H188" s="30">
        <f>1337.77*B201</f>
        <v>0.05635088571000001</v>
      </c>
      <c r="I188" s="30">
        <f>1337.77*B201</f>
        <v>0.05635088571000001</v>
      </c>
      <c r="J188" s="30">
        <f>1337.77*B201</f>
        <v>0.05635088571000001</v>
      </c>
      <c r="K188" s="30">
        <f>1337.77*B201</f>
        <v>0.05635088571000001</v>
      </c>
      <c r="L188" s="30">
        <f>1337.77*B201</f>
        <v>0.05635088571000001</v>
      </c>
      <c r="M188" s="30">
        <f>1337.77*B201</f>
        <v>0.05635088571000001</v>
      </c>
      <c r="N188" s="30">
        <f>1337.77*B201</f>
        <v>0.05635088571000001</v>
      </c>
      <c r="O188" s="30">
        <f>1337.77*B201</f>
        <v>0.05635088571000001</v>
      </c>
      <c r="P188" s="30"/>
      <c r="Q188" s="30"/>
      <c r="R188" s="30"/>
      <c r="S188" s="30"/>
      <c r="T188" s="12"/>
      <c r="U188" s="12"/>
      <c r="V188" s="12"/>
      <c r="W188" s="127"/>
      <c r="X188" s="12"/>
      <c r="Y188" s="12"/>
      <c r="Z188" s="85"/>
    </row>
    <row r="189" spans="1:26" ht="14.25" thickBot="1" thickTop="1">
      <c r="A189" s="165" t="s">
        <v>68</v>
      </c>
      <c r="B189" s="120"/>
      <c r="C189" s="25"/>
      <c r="D189" s="31">
        <f>SUM(D183:D188)</f>
        <v>2559.86663460087</v>
      </c>
      <c r="E189" s="31">
        <f>SUM(E183:E188)</f>
        <v>141.89327326752002</v>
      </c>
      <c r="F189" s="75"/>
      <c r="G189" s="31">
        <f aca="true" t="shared" si="9" ref="G189:W189">SUM(G183:G188)</f>
        <v>172.77557717076002</v>
      </c>
      <c r="H189" s="31">
        <f t="shared" si="9"/>
        <v>166.71825438744</v>
      </c>
      <c r="I189" s="31">
        <f t="shared" si="9"/>
        <v>282.81763202535</v>
      </c>
      <c r="J189" s="31">
        <f t="shared" si="9"/>
        <v>276.7603088208</v>
      </c>
      <c r="K189" s="31">
        <f t="shared" si="9"/>
        <v>270.70298603748</v>
      </c>
      <c r="L189" s="31">
        <f t="shared" si="9"/>
        <v>264.64566325416</v>
      </c>
      <c r="M189" s="31">
        <f t="shared" si="9"/>
        <v>191.28475319384998</v>
      </c>
      <c r="N189" s="31">
        <f t="shared" si="9"/>
        <v>122.47098391530002</v>
      </c>
      <c r="O189" s="31">
        <f t="shared" si="9"/>
        <v>122.47098391530002</v>
      </c>
      <c r="P189" s="31">
        <f t="shared" si="9"/>
        <v>122.41463302959002</v>
      </c>
      <c r="Q189" s="31">
        <f t="shared" si="9"/>
        <v>122.41463302959002</v>
      </c>
      <c r="R189" s="31">
        <f t="shared" si="9"/>
        <v>122.41463302959002</v>
      </c>
      <c r="S189" s="31">
        <f t="shared" si="9"/>
        <v>92.92853302959001</v>
      </c>
      <c r="T189" s="31">
        <f t="shared" si="9"/>
        <v>92.92853302959001</v>
      </c>
      <c r="U189" s="31">
        <f t="shared" si="9"/>
        <v>92.67060000000001</v>
      </c>
      <c r="V189" s="31">
        <f t="shared" si="9"/>
        <v>92.67060000000001</v>
      </c>
      <c r="W189" s="128">
        <f t="shared" si="9"/>
        <v>92.67060000000001</v>
      </c>
      <c r="X189" s="25"/>
      <c r="Y189" s="25"/>
      <c r="Z189" s="145"/>
    </row>
    <row r="190" spans="1:23" ht="12.75">
      <c r="A190" s="118"/>
      <c r="B190" s="67"/>
      <c r="C190" s="119"/>
      <c r="D190" s="13"/>
      <c r="E190" s="50"/>
      <c r="F190" s="13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13"/>
      <c r="U190" s="13"/>
      <c r="V190" s="13"/>
      <c r="W190" s="13"/>
    </row>
    <row r="191" spans="1:26" ht="13.5" thickBot="1">
      <c r="A191" s="121"/>
      <c r="B191" s="120"/>
      <c r="C191" s="122"/>
      <c r="D191" s="71"/>
      <c r="E191" s="123"/>
      <c r="F191" s="71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71"/>
      <c r="U191" s="71"/>
      <c r="V191" s="71"/>
      <c r="W191" s="71"/>
      <c r="X191" s="71"/>
      <c r="Y191" s="71"/>
      <c r="Z191" s="71"/>
    </row>
    <row r="192" spans="1:26" s="40" customFormat="1" ht="12.75">
      <c r="A192" s="153" t="s">
        <v>55</v>
      </c>
      <c r="B192" s="154">
        <v>36889</v>
      </c>
      <c r="C192" s="155" t="s">
        <v>19</v>
      </c>
      <c r="D192" s="104">
        <f>SUM(G192:O192)</f>
        <v>632.5460341336501</v>
      </c>
      <c r="E192" s="184"/>
      <c r="F192" s="53" t="s">
        <v>66</v>
      </c>
      <c r="G192" s="185">
        <f>15016642.55*B201</f>
        <v>632.5460341336501</v>
      </c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05"/>
      <c r="U192" s="105"/>
      <c r="V192" s="105"/>
      <c r="W192" s="105"/>
      <c r="X192" s="136"/>
      <c r="Y192" s="195"/>
      <c r="Z192" s="196"/>
    </row>
    <row r="193" spans="1:26" s="40" customFormat="1" ht="13.5" thickBot="1">
      <c r="A193" s="156" t="s">
        <v>56</v>
      </c>
      <c r="B193" s="60"/>
      <c r="C193" s="60"/>
      <c r="D193" s="116"/>
      <c r="E193" s="169">
        <f>SUM(G193:K193)</f>
        <v>0.10856992635</v>
      </c>
      <c r="F193" s="12" t="s">
        <v>67</v>
      </c>
      <c r="G193" s="186">
        <f>2577.45*B201</f>
        <v>0.10856992635</v>
      </c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7"/>
      <c r="S193" s="116"/>
      <c r="T193" s="60"/>
      <c r="U193" s="60"/>
      <c r="V193" s="60"/>
      <c r="W193" s="60"/>
      <c r="X193" s="124"/>
      <c r="Y193" s="124"/>
      <c r="Z193" s="92"/>
    </row>
    <row r="194" spans="1:28" s="2" customFormat="1" ht="14.25" thickBot="1" thickTop="1">
      <c r="A194" s="108" t="s">
        <v>68</v>
      </c>
      <c r="B194" s="24"/>
      <c r="C194" s="24"/>
      <c r="D194" s="32">
        <f>SUM(D192:D193)</f>
        <v>632.5460341336501</v>
      </c>
      <c r="E194" s="32">
        <f>SUM(E192:E193)</f>
        <v>0.10856992635</v>
      </c>
      <c r="F194" s="181"/>
      <c r="G194" s="32">
        <f>SUM(G192:G193)</f>
        <v>632.6546040600001</v>
      </c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194"/>
      <c r="X194" s="132"/>
      <c r="Y194" s="132"/>
      <c r="Z194" s="86"/>
      <c r="AB194" s="68"/>
    </row>
    <row r="195" spans="1:28" s="1" customFormat="1" ht="14.25" customHeight="1" thickBot="1">
      <c r="A195" s="157"/>
      <c r="B195" s="109"/>
      <c r="C195" s="109"/>
      <c r="D195" s="109"/>
      <c r="E195" s="109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09"/>
      <c r="U195" s="109"/>
      <c r="V195" s="109"/>
      <c r="W195" s="109"/>
      <c r="X195" s="107"/>
      <c r="Y195" s="107"/>
      <c r="Z195" s="158"/>
      <c r="AB195" s="69"/>
    </row>
    <row r="196" spans="1:112" ht="13.5" thickBot="1">
      <c r="A196" s="197" t="s">
        <v>68</v>
      </c>
      <c r="B196" s="25"/>
      <c r="C196" s="25" t="s">
        <v>46</v>
      </c>
      <c r="D196" s="77">
        <f>D38+D48+D62+D93+D103+D110+D122+D132+D140+D148+D152+D157+D165+D174+D194+D189</f>
        <v>114445.40299849442</v>
      </c>
      <c r="E196" s="77">
        <f>E38+E48+E62+E93+E103+E110+E122+E132+E140+E148+E152+E157+E165+E174+E194+E189</f>
        <v>39039.010937467436</v>
      </c>
      <c r="F196" s="77"/>
      <c r="G196" s="77">
        <f aca="true" t="shared" si="10" ref="G196:Z196">G38+G48+G62+G93+G103+G110+G122+G132+G140+G148+G152+G157+G165+G174+G194+G189</f>
        <v>34026.031784144594</v>
      </c>
      <c r="H196" s="77">
        <f t="shared" si="10"/>
        <v>13872.165120293372</v>
      </c>
      <c r="I196" s="77">
        <f t="shared" si="10"/>
        <v>13234.082262914288</v>
      </c>
      <c r="J196" s="77">
        <f t="shared" si="10"/>
        <v>20154.521859857483</v>
      </c>
      <c r="K196" s="77">
        <f t="shared" si="10"/>
        <v>24120.484783731372</v>
      </c>
      <c r="L196" s="77">
        <f t="shared" si="10"/>
        <v>17968.77466712806</v>
      </c>
      <c r="M196" s="77">
        <f t="shared" si="10"/>
        <v>7101.071440800611</v>
      </c>
      <c r="N196" s="77">
        <f t="shared" si="10"/>
        <v>5363.35520081988</v>
      </c>
      <c r="O196" s="77">
        <f t="shared" si="10"/>
        <v>4963.833572162301</v>
      </c>
      <c r="P196" s="77">
        <f t="shared" si="10"/>
        <v>3388.49662707959</v>
      </c>
      <c r="Q196" s="77">
        <f t="shared" si="10"/>
        <v>2640.4974003735897</v>
      </c>
      <c r="R196" s="77">
        <f t="shared" si="10"/>
        <v>2565.0347203175897</v>
      </c>
      <c r="S196" s="77">
        <f t="shared" si="10"/>
        <v>1726.41525245959</v>
      </c>
      <c r="T196" s="77">
        <f t="shared" si="10"/>
        <v>1162.65174731959</v>
      </c>
      <c r="U196" s="77">
        <f t="shared" si="10"/>
        <v>264.47431026000004</v>
      </c>
      <c r="V196" s="77">
        <f t="shared" si="10"/>
        <v>256.8997524</v>
      </c>
      <c r="W196" s="77">
        <f t="shared" si="10"/>
        <v>249.32519454</v>
      </c>
      <c r="X196" s="77">
        <f t="shared" si="10"/>
        <v>149.08003668</v>
      </c>
      <c r="Y196" s="77">
        <f t="shared" si="10"/>
        <v>141.50547882</v>
      </c>
      <c r="Z196" s="77">
        <f t="shared" si="10"/>
        <v>135.71272386</v>
      </c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</row>
    <row r="197" spans="1:112" ht="15">
      <c r="A197" s="100"/>
      <c r="B197" s="13"/>
      <c r="C197" s="13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</row>
    <row r="198" spans="2:112" ht="12.75">
      <c r="B198" s="13"/>
      <c r="C198" s="13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</row>
    <row r="199" spans="1:112" ht="12.75">
      <c r="A199" t="s">
        <v>57</v>
      </c>
      <c r="B199" s="13"/>
      <c r="C199" s="13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</row>
    <row r="200" spans="1:22" ht="12.75">
      <c r="A200" t="s">
        <v>18</v>
      </c>
      <c r="B200">
        <v>4.8157E-05</v>
      </c>
      <c r="E200" s="45"/>
      <c r="V200" s="50"/>
    </row>
    <row r="201" spans="1:2" ht="12.75">
      <c r="A201" t="s">
        <v>19</v>
      </c>
      <c r="B201">
        <v>4.2123E-05</v>
      </c>
    </row>
    <row r="202" spans="1:2" ht="12.75">
      <c r="A202" t="s">
        <v>46</v>
      </c>
      <c r="B202">
        <v>1E-06</v>
      </c>
    </row>
    <row r="205" ht="12.75">
      <c r="A205" s="64"/>
    </row>
    <row r="206" ht="12.75">
      <c r="A206" s="64"/>
    </row>
    <row r="208" ht="12.75">
      <c r="A208" s="64"/>
    </row>
  </sheetData>
  <printOptions/>
  <pageMargins left="0.75" right="0.75" top="1" bottom="1" header="0.4921259845" footer="0.4921259845"/>
  <pageSetup horizontalDpi="180" verticalDpi="180" orientation="landscape" paperSize="9" scale="48" r:id="rId1"/>
  <headerFooter alignWithMargins="0">
    <oddHeader>&amp;C&amp;"Arial CE,Tučné"&amp;14Prehľad štátnych záruk - splátkové kalendáre</oddHeader>
  </headerFooter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mf_sr</dc:creator>
  <cp:keywords/>
  <dc:description/>
  <cp:lastModifiedBy>mf_sr</cp:lastModifiedBy>
  <cp:lastPrinted>2002-04-08T13:45:42Z</cp:lastPrinted>
  <dcterms:created xsi:type="dcterms:W3CDTF">1999-11-30T08:07:18Z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