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46" windowWidth="12120" windowHeight="8700" firstSheet="5" activeTab="5"/>
  </bookViews>
  <sheets>
    <sheet name="Hárok1" sheetId="1" r:id="rId1"/>
    <sheet name="Hárok2" sheetId="2" r:id="rId2"/>
    <sheet name="PP" sheetId="3" r:id="rId3"/>
    <sheet name="Hárok1 (2)" sheetId="4" r:id="rId4"/>
    <sheet name="RD" sheetId="5" r:id="rId5"/>
    <sheet name="30.10.-tlač" sheetId="6" r:id="rId6"/>
  </sheets>
  <definedNames>
    <definedName name="_ftn1" localSheetId="2">'PP'!$A$35</definedName>
    <definedName name="_ftn2" localSheetId="2">'PP'!$A$37</definedName>
    <definedName name="_ftn3" localSheetId="2">'PP'!$A$38</definedName>
    <definedName name="_ftnref1" localSheetId="2">'PP'!#REF!</definedName>
    <definedName name="_ftnref2" localSheetId="2">'PP'!#REF!</definedName>
    <definedName name="_ftnref3" localSheetId="2">'PP'!$B$26</definedName>
    <definedName name="_xlnm.Print_Area" localSheetId="5">'30.10.-tlač'!$A$1:$N$53</definedName>
  </definedNames>
  <calcPr fullCalcOnLoad="1"/>
</workbook>
</file>

<file path=xl/sharedStrings.xml><?xml version="1.0" encoding="utf-8"?>
<sst xmlns="http://schemas.openxmlformats.org/spreadsheetml/2006/main" count="311" uniqueCount="98">
  <si>
    <t>Zálohová platba rozdelená na dve splátky v rokoch 2004 a 2005</t>
  </si>
  <si>
    <t xml:space="preserve">Čerpanie z priemerného ročného záväzku v období 2004-2006 </t>
  </si>
  <si>
    <t>Záverečná platba</t>
  </si>
  <si>
    <t xml:space="preserve">Zálohová platba rozdelená na dve splátky v rokoch 2004 a 2005 </t>
  </si>
  <si>
    <t>Čerpanie prostriedkov z priemerného ročného záväzku na programovacie obdobie 2004-2006</t>
  </si>
  <si>
    <t>Spolu</t>
  </si>
  <si>
    <t>Tabuľka č. 15:</t>
  </si>
  <si>
    <t xml:space="preserve">Celkové čerpanie na jednotlivé roky zo štrukturálnych fondov </t>
  </si>
  <si>
    <t xml:space="preserve">Zálohová platba </t>
  </si>
  <si>
    <t xml:space="preserve">Čerpanie </t>
  </si>
  <si>
    <t xml:space="preserve">Celkové čerpanie </t>
  </si>
  <si>
    <t>sc 1999</t>
  </si>
  <si>
    <t>bežné ceny</t>
  </si>
  <si>
    <t>MŠ SR</t>
  </si>
  <si>
    <t>MH SR</t>
  </si>
  <si>
    <t>MVRR SR</t>
  </si>
  <si>
    <t>MP SR</t>
  </si>
  <si>
    <t>MDPT SR</t>
  </si>
  <si>
    <t>MŽP SR</t>
  </si>
  <si>
    <t>SR spolu</t>
  </si>
  <si>
    <t>Sektorový operačný program Priemysel a služby</t>
  </si>
  <si>
    <t>Sektorový operačný program Ľudské zdroje</t>
  </si>
  <si>
    <t>Regionálny operačný program Základná infraštruktúra</t>
  </si>
  <si>
    <t>Jednotný programovací dokument cieľa 2</t>
  </si>
  <si>
    <t>Sektorový operačný program Poľnohospodárstvo. rozvoj vidieka a rybárstva</t>
  </si>
  <si>
    <t>Jednotný programovací dokument  cieľa 3</t>
  </si>
  <si>
    <t>Interreg</t>
  </si>
  <si>
    <t>Equal</t>
  </si>
  <si>
    <t>Štrukturálne fondy spolu</t>
  </si>
  <si>
    <t>stále ceny</t>
  </si>
  <si>
    <t>Euro</t>
  </si>
  <si>
    <t>Sk</t>
  </si>
  <si>
    <t>Spolu 2004-06</t>
  </si>
  <si>
    <t>príjmy rozpočtu</t>
  </si>
  <si>
    <t>výdavky rozpočtu</t>
  </si>
  <si>
    <t>MF SR</t>
  </si>
  <si>
    <t xml:space="preserve">MP SR </t>
  </si>
  <si>
    <t>Poľnohospodárstvo</t>
  </si>
  <si>
    <t>Trhové opatrenia</t>
  </si>
  <si>
    <t>Priame platby</t>
  </si>
  <si>
    <t>Rozvoj vidieka</t>
  </si>
  <si>
    <t xml:space="preserve">Finančný rámec rozširovania podľa návrhu z Kodanského summitu </t>
  </si>
  <si>
    <t>2004-2006</t>
  </si>
  <si>
    <t>EÚ</t>
  </si>
  <si>
    <t>SR</t>
  </si>
  <si>
    <t xml:space="preserve">Národný doplatok </t>
  </si>
  <si>
    <t>1. Plán rozvoja vidieka</t>
  </si>
  <si>
    <t>Vplyv na príjmy rozpočtu</t>
  </si>
  <si>
    <t>Vplyv na výdavky rozpočtu</t>
  </si>
  <si>
    <t>2. Sektorový operačný program</t>
  </si>
  <si>
    <t>3. Podpora poľnohospodárstva</t>
  </si>
  <si>
    <t>4. Program Sapard, financovanie v roku 2003-2004</t>
  </si>
  <si>
    <t>5. Budovanie inštitúcií - Pôdohospodárska platobná agentúra</t>
  </si>
  <si>
    <t>2004-06</t>
  </si>
  <si>
    <t>73+87.6 dopl</t>
  </si>
  <si>
    <t>88.1+88.1dopl.</t>
  </si>
  <si>
    <t>102.8+88.1</t>
  </si>
  <si>
    <t>4. Štrukturálne opatrenia (usmerňovacia. sekcia)</t>
  </si>
  <si>
    <t>5. Ostatné výdavky</t>
  </si>
  <si>
    <t>6. Rezerva na kurzové straty</t>
  </si>
  <si>
    <t>7. Rozvoj vidieka na účely usmerňovacej sekcie</t>
  </si>
  <si>
    <t>8. Štátna pomoc</t>
  </si>
  <si>
    <t>Výdavky do APK</t>
  </si>
  <si>
    <t>v mil.Sk                                                                                                                              Tabuľka č. 133</t>
  </si>
  <si>
    <t>Návrh MF</t>
  </si>
  <si>
    <t>Návrh MP</t>
  </si>
  <si>
    <t>ŠR SR</t>
  </si>
  <si>
    <t>+ presun z plánu rozvoja vidieka</t>
  </si>
  <si>
    <t>Rozvoj vidieka (záručná sekcia EAGGF)</t>
  </si>
  <si>
    <t>Rozvoj vidieka (usmerňovacia sekcia EAGGF)</t>
  </si>
  <si>
    <t>Rezerva na kurzové straty</t>
  </si>
  <si>
    <t>Rozvoj vidieka na účely usmerňovacej sekcie EAGGF</t>
  </si>
  <si>
    <t>Ostatné štátna pomoc</t>
  </si>
  <si>
    <t>Ostatné bežné a kapitálové výdavky</t>
  </si>
  <si>
    <t>Priame platby spolu</t>
  </si>
  <si>
    <t>Presun z PRV</t>
  </si>
  <si>
    <t>Priame platby a štátna pomoc</t>
  </si>
  <si>
    <t>€, s.c. 99</t>
  </si>
  <si>
    <t xml:space="preserve">€, b.c. </t>
  </si>
  <si>
    <t>Sk, s.c. 99</t>
  </si>
  <si>
    <t>Sk, b.c.</t>
  </si>
  <si>
    <t>Celkom</t>
  </si>
  <si>
    <t>Jednotka</t>
  </si>
  <si>
    <t>mil. €, s.c. 99</t>
  </si>
  <si>
    <t>mil. €, b.c</t>
  </si>
  <si>
    <t>mil. €, b.c.</t>
  </si>
  <si>
    <t>mil. Sk, s.c. 99</t>
  </si>
  <si>
    <t>mil. Sk, b.c.</t>
  </si>
  <si>
    <t>Deflátor EÚ:</t>
  </si>
  <si>
    <t xml:space="preserve">Poznámka: s.c. = stále ceny roku 1999 </t>
  </si>
  <si>
    <t xml:space="preserve">                   b.c. = bežné ceny</t>
  </si>
  <si>
    <r>
      <t>Finančné nároky zo záručnej sekcie EAGGF, vrátane spolufinancovania</t>
    </r>
    <r>
      <rPr>
        <b/>
        <vertAlign val="superscript"/>
        <sz val="16"/>
        <rFont val="Arial CE"/>
        <family val="2"/>
      </rPr>
      <t>1)</t>
    </r>
  </si>
  <si>
    <r>
      <t>Štátna pomoc</t>
    </r>
    <r>
      <rPr>
        <vertAlign val="superscript"/>
        <sz val="11"/>
        <rFont val="Times New Roman"/>
        <family val="1"/>
      </rPr>
      <t>2)</t>
    </r>
  </si>
  <si>
    <r>
      <t>Štátna pomoc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</si>
  <si>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1)</t>
    </r>
    <r>
      <rPr>
        <sz val="9"/>
        <rFont val="Arial CE"/>
        <family val="2"/>
      </rPr>
      <t xml:space="preserve"> Priame platby v časti výdavkov SR sú rozdielom medzi záväzkom EÚ splatným v nasledujúcom roku </t>
    </r>
  </si>
  <si>
    <r>
      <t xml:space="preserve"> 2)</t>
    </r>
    <r>
      <rPr>
        <sz val="9"/>
        <rFont val="Arial CE"/>
        <family val="2"/>
      </rPr>
      <t xml:space="preserve"> Štátna pomoc v rokoch 2005 a 2006 bude kvantifikovaná pri návrhu rozpočtu</t>
    </r>
  </si>
  <si>
    <t xml:space="preserve">   a príjmom úhrady záväzku EÚ v predchádzajúcom roku</t>
  </si>
  <si>
    <r>
      <t xml:space="preserve">     </t>
    </r>
    <r>
      <rPr>
        <sz val="9"/>
        <rFont val="Arial CE"/>
        <family val="2"/>
      </rPr>
      <t xml:space="preserve"> Rok 2004 - 50% PP (vládny návrh šátneho rozpočtu), PRV - podľa schváleného plánu  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</si>
</sst>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#,##0.0"/>
  </numFmts>
  <fonts count="2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b/>
      <i/>
      <sz val="11"/>
      <name val="Times New Roman"/>
      <family val="1"/>
    </font>
    <font>
      <sz val="9"/>
      <name val="Arial CE"/>
      <family val="2"/>
    </font>
    <font>
      <sz val="8.5"/>
      <name val="Arial CE"/>
      <family val="2"/>
    </font>
    <font>
      <vertAlign val="superscript"/>
      <sz val="8.5"/>
      <name val="Arial CE"/>
      <family val="2"/>
    </font>
    <font>
      <vertAlign val="superscript"/>
      <sz val="11"/>
      <name val="Times New Roman"/>
      <family val="1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/>
    </xf>
    <xf numFmtId="4" fontId="7" fillId="2" borderId="3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right"/>
    </xf>
    <xf numFmtId="169" fontId="2" fillId="0" borderId="4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top" wrapText="1"/>
    </xf>
    <xf numFmtId="169" fontId="2" fillId="0" borderId="4" xfId="0" applyNumberFormat="1" applyFont="1" applyBorder="1" applyAlignment="1">
      <alignment horizontal="right"/>
    </xf>
    <xf numFmtId="0" fontId="12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6" xfId="0" applyNumberFormat="1" applyFont="1" applyBorder="1" applyAlignment="1">
      <alignment horizontal="right" vertical="top" wrapText="1"/>
    </xf>
    <xf numFmtId="169" fontId="4" fillId="0" borderId="7" xfId="0" applyNumberFormat="1" applyFont="1" applyBorder="1" applyAlignment="1">
      <alignment horizontal="right" vertical="top" wrapText="1"/>
    </xf>
    <xf numFmtId="169" fontId="2" fillId="0" borderId="9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69" fontId="2" fillId="0" borderId="1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169" fontId="0" fillId="0" borderId="1" xfId="0" applyNumberFormat="1" applyBorder="1" applyAlignment="1">
      <alignment/>
    </xf>
    <xf numFmtId="169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169" fontId="2" fillId="0" borderId="18" xfId="0" applyNumberFormat="1" applyFont="1" applyBorder="1" applyAlignment="1">
      <alignment horizontal="right" vertical="top" wrapText="1"/>
    </xf>
    <xf numFmtId="169" fontId="2" fillId="0" borderId="19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169" fontId="2" fillId="0" borderId="2" xfId="0" applyNumberFormat="1" applyFont="1" applyBorder="1" applyAlignment="1">
      <alignment horizontal="right" vertical="top" wrapText="1"/>
    </xf>
    <xf numFmtId="169" fontId="2" fillId="0" borderId="20" xfId="0" applyNumberFormat="1" applyFont="1" applyBorder="1" applyAlignment="1">
      <alignment horizontal="right" vertical="top" wrapText="1"/>
    </xf>
    <xf numFmtId="0" fontId="0" fillId="0" borderId="21" xfId="0" applyBorder="1" applyAlignment="1">
      <alignment/>
    </xf>
    <xf numFmtId="169" fontId="2" fillId="0" borderId="22" xfId="0" applyNumberFormat="1" applyFont="1" applyBorder="1" applyAlignment="1">
      <alignment horizontal="right" vertical="top" wrapText="1"/>
    </xf>
    <xf numFmtId="169" fontId="2" fillId="0" borderId="23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 wrapText="1"/>
    </xf>
    <xf numFmtId="169" fontId="4" fillId="0" borderId="30" xfId="0" applyNumberFormat="1" applyFont="1" applyBorder="1" applyAlignment="1">
      <alignment horizontal="right" vertical="top" wrapText="1"/>
    </xf>
    <xf numFmtId="169" fontId="4" fillId="0" borderId="31" xfId="0" applyNumberFormat="1" applyFont="1" applyBorder="1" applyAlignment="1">
      <alignment horizontal="right" vertical="top" wrapText="1"/>
    </xf>
    <xf numFmtId="169" fontId="4" fillId="0" borderId="32" xfId="0" applyNumberFormat="1" applyFont="1" applyBorder="1" applyAlignment="1">
      <alignment horizontal="right" vertical="top" wrapText="1"/>
    </xf>
    <xf numFmtId="169" fontId="2" fillId="0" borderId="32" xfId="0" applyNumberFormat="1" applyFont="1" applyBorder="1" applyAlignment="1">
      <alignment horizontal="right" vertical="top" wrapText="1"/>
    </xf>
    <xf numFmtId="169" fontId="2" fillId="0" borderId="30" xfId="0" applyNumberFormat="1" applyFont="1" applyBorder="1" applyAlignment="1">
      <alignment horizontal="right" vertical="top" wrapText="1"/>
    </xf>
    <xf numFmtId="169" fontId="4" fillId="0" borderId="33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vertical="top" wrapText="1"/>
    </xf>
    <xf numFmtId="169" fontId="2" fillId="0" borderId="25" xfId="0" applyNumberFormat="1" applyFont="1" applyBorder="1" applyAlignment="1">
      <alignment horizontal="right" vertical="top" wrapText="1"/>
    </xf>
    <xf numFmtId="169" fontId="2" fillId="0" borderId="26" xfId="0" applyNumberFormat="1" applyFont="1" applyBorder="1" applyAlignment="1">
      <alignment horizontal="right" vertical="top" wrapText="1"/>
    </xf>
    <xf numFmtId="169" fontId="2" fillId="0" borderId="27" xfId="0" applyNumberFormat="1" applyFont="1" applyBorder="1" applyAlignment="1">
      <alignment horizontal="right" vertical="top" wrapText="1"/>
    </xf>
    <xf numFmtId="169" fontId="2" fillId="0" borderId="28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9" fontId="14" fillId="0" borderId="37" xfId="0" applyNumberFormat="1" applyFont="1" applyBorder="1" applyAlignment="1">
      <alignment horizontal="center" vertical="top" wrapText="1"/>
    </xf>
    <xf numFmtId="9" fontId="14" fillId="0" borderId="38" xfId="0" applyNumberFormat="1" applyFont="1" applyBorder="1" applyAlignment="1">
      <alignment horizontal="center" vertical="top" wrapText="1"/>
    </xf>
    <xf numFmtId="9" fontId="14" fillId="0" borderId="39" xfId="0" applyNumberFormat="1" applyFont="1" applyBorder="1" applyAlignment="1">
      <alignment horizontal="center" vertical="top" wrapText="1"/>
    </xf>
    <xf numFmtId="169" fontId="3" fillId="0" borderId="40" xfId="0" applyNumberFormat="1" applyFont="1" applyBorder="1" applyAlignment="1">
      <alignment horizontal="right" vertical="top" wrapText="1"/>
    </xf>
    <xf numFmtId="169" fontId="3" fillId="0" borderId="41" xfId="0" applyNumberFormat="1" applyFont="1" applyBorder="1" applyAlignment="1">
      <alignment horizontal="right" vertical="top" wrapText="1"/>
    </xf>
    <xf numFmtId="169" fontId="3" fillId="0" borderId="42" xfId="0" applyNumberFormat="1" applyFont="1" applyBorder="1" applyAlignment="1">
      <alignment horizontal="right" vertical="top" wrapText="1"/>
    </xf>
    <xf numFmtId="0" fontId="3" fillId="0" borderId="39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5" fillId="0" borderId="2" xfId="0" applyNumberFormat="1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3" fillId="0" borderId="44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0" fontId="5" fillId="0" borderId="46" xfId="0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0" fontId="3" fillId="0" borderId="47" xfId="0" applyFont="1" applyBorder="1" applyAlignment="1">
      <alignment horizontal="justify" wrapText="1"/>
    </xf>
    <xf numFmtId="0" fontId="3" fillId="0" borderId="48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38" xfId="0" applyFont="1" applyBorder="1" applyAlignment="1">
      <alignment horizontal="center" wrapText="1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9" xfId="0" applyFont="1" applyBorder="1" applyAlignment="1">
      <alignment vertical="top" wrapText="1"/>
    </xf>
    <xf numFmtId="0" fontId="2" fillId="0" borderId="38" xfId="0" applyFont="1" applyBorder="1" applyAlignment="1">
      <alignment horizontal="center" wrapText="1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horizontal="center" wrapText="1"/>
    </xf>
    <xf numFmtId="169" fontId="2" fillId="0" borderId="38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69" fontId="3" fillId="0" borderId="30" xfId="0" applyNumberFormat="1" applyFont="1" applyBorder="1" applyAlignment="1">
      <alignment horizontal="right" vertical="center" wrapText="1"/>
    </xf>
    <xf numFmtId="169" fontId="17" fillId="0" borderId="30" xfId="0" applyNumberFormat="1" applyFont="1" applyBorder="1" applyAlignment="1">
      <alignment vertical="center"/>
    </xf>
    <xf numFmtId="169" fontId="3" fillId="0" borderId="3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right" vertical="center" wrapText="1"/>
    </xf>
    <xf numFmtId="169" fontId="17" fillId="0" borderId="1" xfId="0" applyNumberFormat="1" applyFont="1" applyBorder="1" applyAlignment="1">
      <alignment vertical="center"/>
    </xf>
    <xf numFmtId="169" fontId="3" fillId="0" borderId="16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9" fontId="5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vertical="center" wrapText="1"/>
    </xf>
    <xf numFmtId="169" fontId="14" fillId="0" borderId="1" xfId="0" applyNumberFormat="1" applyFont="1" applyBorder="1" applyAlignment="1">
      <alignment horizontal="right" vertical="center" wrapText="1"/>
    </xf>
    <xf numFmtId="169" fontId="14" fillId="0" borderId="16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vertical="center" wrapText="1"/>
    </xf>
    <xf numFmtId="169" fontId="14" fillId="0" borderId="25" xfId="0" applyNumberFormat="1" applyFont="1" applyBorder="1" applyAlignment="1">
      <alignment horizontal="right" vertical="center" wrapText="1"/>
    </xf>
    <xf numFmtId="0" fontId="5" fillId="0" borderId="52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169" fontId="5" fillId="0" borderId="53" xfId="0" applyNumberFormat="1" applyFont="1" applyBorder="1" applyAlignment="1">
      <alignment horizontal="right" vertical="center" wrapText="1"/>
    </xf>
    <xf numFmtId="169" fontId="5" fillId="0" borderId="54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169" fontId="3" fillId="0" borderId="3" xfId="0" applyNumberFormat="1" applyFont="1" applyBorder="1" applyAlignment="1">
      <alignment horizontal="right" vertical="center" wrapText="1"/>
    </xf>
    <xf numFmtId="169" fontId="3" fillId="0" borderId="55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right" vertical="center" wrapText="1"/>
    </xf>
    <xf numFmtId="169" fontId="5" fillId="0" borderId="19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justify"/>
    </xf>
    <xf numFmtId="0" fontId="3" fillId="0" borderId="58" xfId="0" applyFont="1" applyBorder="1" applyAlignment="1">
      <alignment horizontal="justify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20" sqref="G20:G23"/>
    </sheetView>
  </sheetViews>
  <sheetFormatPr defaultColWidth="9.00390625" defaultRowHeight="12.75"/>
  <cols>
    <col min="5" max="5" width="11.625" style="0" bestFit="1" customWidth="1"/>
    <col min="8" max="8" width="11.375" style="0" bestFit="1" customWidth="1"/>
  </cols>
  <sheetData>
    <row r="1" spans="1:7" ht="128.25">
      <c r="A1" s="3"/>
      <c r="B1" s="4" t="s">
        <v>0</v>
      </c>
      <c r="C1" s="4" t="s">
        <v>1</v>
      </c>
      <c r="D1" s="4" t="s">
        <v>2</v>
      </c>
      <c r="G1" s="15" t="s">
        <v>5</v>
      </c>
    </row>
    <row r="2" spans="1:9" ht="15">
      <c r="A2" s="5">
        <v>2004</v>
      </c>
      <c r="B2" s="6">
        <v>0.1</v>
      </c>
      <c r="C2" s="6">
        <v>0.02</v>
      </c>
      <c r="D2" s="7"/>
      <c r="E2">
        <f>+B12*10</f>
        <v>1075.6</v>
      </c>
      <c r="G2" s="18">
        <v>261.5</v>
      </c>
      <c r="H2">
        <f>+$G$6*B2</f>
        <v>105.03</v>
      </c>
      <c r="I2">
        <f>+$G$5*C2</f>
        <v>7.002</v>
      </c>
    </row>
    <row r="3" spans="1:9" ht="15">
      <c r="A3" s="5">
        <v>2005</v>
      </c>
      <c r="B3" s="6">
        <v>0.06</v>
      </c>
      <c r="C3" s="6">
        <v>0.4</v>
      </c>
      <c r="D3" s="7"/>
      <c r="G3" s="16">
        <v>351.5</v>
      </c>
      <c r="H3">
        <f>+$G$6*B3</f>
        <v>63.017999999999994</v>
      </c>
      <c r="I3">
        <f>+$G$5*C3</f>
        <v>140.04</v>
      </c>
    </row>
    <row r="4" spans="1:9" ht="15">
      <c r="A4" s="5">
        <v>2006</v>
      </c>
      <c r="B4" s="7"/>
      <c r="C4" s="6">
        <v>0.63</v>
      </c>
      <c r="D4" s="7"/>
      <c r="G4" s="16">
        <v>437.3</v>
      </c>
      <c r="I4">
        <f>+$G$5*C4</f>
        <v>220.563</v>
      </c>
    </row>
    <row r="5" spans="1:9" ht="15">
      <c r="A5" s="5">
        <v>2007</v>
      </c>
      <c r="B5" s="7"/>
      <c r="C5" s="6">
        <v>0.63</v>
      </c>
      <c r="D5" s="7"/>
      <c r="G5" s="17">
        <f>SUM(G2:G4)/3</f>
        <v>350.09999999999997</v>
      </c>
      <c r="I5">
        <f>+$G$5*C5</f>
        <v>220.563</v>
      </c>
    </row>
    <row r="6" spans="1:9" ht="15">
      <c r="A6" s="5">
        <v>2008</v>
      </c>
      <c r="B6" s="7"/>
      <c r="C6" s="6">
        <v>0.69</v>
      </c>
      <c r="D6" s="7"/>
      <c r="G6">
        <f>+G5*3</f>
        <v>1050.3</v>
      </c>
      <c r="I6">
        <f>+$G$5*C6</f>
        <v>241.56899999999996</v>
      </c>
    </row>
    <row r="7" spans="1:10" ht="15">
      <c r="A7" s="5">
        <v>2009</v>
      </c>
      <c r="B7" s="7"/>
      <c r="C7" s="7"/>
      <c r="D7" s="6">
        <v>0.15</v>
      </c>
      <c r="J7">
        <f>+$G$5*D7</f>
        <v>52.51499999999999</v>
      </c>
    </row>
    <row r="8" spans="1:9" ht="15.75">
      <c r="A8" s="1"/>
      <c r="I8">
        <f>SUM(I2:I7)</f>
        <v>829.737</v>
      </c>
    </row>
    <row r="9" spans="1:9" ht="12.75">
      <c r="A9" s="2"/>
      <c r="I9">
        <f>+I8+J7+H2+H3</f>
        <v>1050.3</v>
      </c>
    </row>
    <row r="10" ht="12.75">
      <c r="A10" s="2"/>
    </row>
    <row r="11" spans="1:5" ht="12.75" customHeight="1">
      <c r="A11" s="12"/>
      <c r="B11" s="5"/>
      <c r="C11" s="5"/>
      <c r="D11" s="5"/>
      <c r="E11" s="8"/>
    </row>
    <row r="12" spans="1:5" ht="12.75">
      <c r="A12" s="9">
        <v>2004</v>
      </c>
      <c r="B12" s="7">
        <v>107.56</v>
      </c>
      <c r="C12" s="7">
        <v>7.01</v>
      </c>
      <c r="D12" s="10">
        <v>114.57</v>
      </c>
      <c r="E12" s="8"/>
    </row>
    <row r="13" spans="1:5" ht="12.75">
      <c r="A13" s="9">
        <v>2005</v>
      </c>
      <c r="B13" s="7">
        <v>63.16</v>
      </c>
      <c r="C13" s="7">
        <v>140.04</v>
      </c>
      <c r="D13" s="10">
        <v>203.2</v>
      </c>
      <c r="E13" s="8"/>
    </row>
    <row r="14" spans="1:5" ht="12.75">
      <c r="A14" s="9">
        <v>2006</v>
      </c>
      <c r="B14" s="7"/>
      <c r="C14" s="7">
        <v>220.56</v>
      </c>
      <c r="D14" s="10">
        <v>220.56</v>
      </c>
      <c r="E14" s="8"/>
    </row>
    <row r="15" spans="1:5" ht="12.75">
      <c r="A15" s="9" t="s">
        <v>5</v>
      </c>
      <c r="B15" s="11">
        <v>170.72</v>
      </c>
      <c r="C15" s="11">
        <v>367.61</v>
      </c>
      <c r="D15" s="10">
        <v>538.33</v>
      </c>
      <c r="E15" s="8"/>
    </row>
    <row r="16" ht="12.75">
      <c r="A16" s="13"/>
    </row>
    <row r="17" ht="12.75">
      <c r="A17" s="14" t="s">
        <v>6</v>
      </c>
    </row>
    <row r="18" spans="1:5" ht="186.75" customHeight="1">
      <c r="A18" s="190"/>
      <c r="B18" s="192" t="s">
        <v>3</v>
      </c>
      <c r="C18" s="192" t="s">
        <v>4</v>
      </c>
      <c r="D18" s="192" t="s">
        <v>7</v>
      </c>
      <c r="E18" s="8"/>
    </row>
    <row r="19" spans="1:5" ht="12.75">
      <c r="A19" s="191"/>
      <c r="B19" s="193"/>
      <c r="C19" s="193"/>
      <c r="D19" s="193"/>
      <c r="E19" s="8"/>
    </row>
    <row r="20" spans="1:7" ht="12.75">
      <c r="A20" s="9">
        <v>2004</v>
      </c>
      <c r="B20" s="7">
        <v>118.76</v>
      </c>
      <c r="C20" s="7">
        <v>7.73</v>
      </c>
      <c r="D20" s="10">
        <v>126.49</v>
      </c>
      <c r="E20" s="8">
        <f aca="true" t="shared" si="0" ref="E20:G23">+B20/B12</f>
        <v>1.104127928597992</v>
      </c>
      <c r="F20" s="8">
        <f t="shared" si="0"/>
        <v>1.102710413694722</v>
      </c>
      <c r="G20" s="8">
        <f t="shared" si="0"/>
        <v>1.1040411975211661</v>
      </c>
    </row>
    <row r="21" spans="1:7" ht="12.75">
      <c r="A21" s="9">
        <v>2005</v>
      </c>
      <c r="B21" s="7">
        <v>71.26</v>
      </c>
      <c r="C21" s="7">
        <v>157.99</v>
      </c>
      <c r="D21" s="10">
        <v>229.25</v>
      </c>
      <c r="E21" s="8">
        <f t="shared" si="0"/>
        <v>1.1282457251424953</v>
      </c>
      <c r="F21" s="8">
        <f t="shared" si="0"/>
        <v>1.1281776635247074</v>
      </c>
      <c r="G21" s="8">
        <f t="shared" si="0"/>
        <v>1.128198818897638</v>
      </c>
    </row>
    <row r="22" spans="1:7" ht="12.75">
      <c r="A22" s="9">
        <v>2006</v>
      </c>
      <c r="B22" s="7"/>
      <c r="C22" s="7">
        <v>253.36</v>
      </c>
      <c r="D22" s="10">
        <v>253.36</v>
      </c>
      <c r="E22" s="8" t="e">
        <f t="shared" si="0"/>
        <v>#DIV/0!</v>
      </c>
      <c r="F22" s="8">
        <f t="shared" si="0"/>
        <v>1.1487123685165035</v>
      </c>
      <c r="G22" s="8">
        <f t="shared" si="0"/>
        <v>1.1487123685165035</v>
      </c>
    </row>
    <row r="23" spans="1:7" ht="12.75">
      <c r="A23" s="9" t="s">
        <v>5</v>
      </c>
      <c r="B23" s="11">
        <f>SUM(B20:B22)</f>
        <v>190.02</v>
      </c>
      <c r="C23" s="11">
        <f>SUM(C20:C22)</f>
        <v>419.08000000000004</v>
      </c>
      <c r="D23" s="10">
        <f>+C23+B23</f>
        <v>609.1</v>
      </c>
      <c r="E23" s="8">
        <f t="shared" si="0"/>
        <v>1.11305060918463</v>
      </c>
      <c r="F23" s="8">
        <f t="shared" si="0"/>
        <v>1.1400125132613368</v>
      </c>
      <c r="G23" s="8">
        <f t="shared" si="0"/>
        <v>1.1314621143164973</v>
      </c>
    </row>
  </sheetData>
  <mergeCells count="4">
    <mergeCell ref="A18:A19"/>
    <mergeCell ref="B18:B19"/>
    <mergeCell ref="C18:C19"/>
    <mergeCell ref="D18:D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I13" sqref="I13"/>
    </sheetView>
  </sheetViews>
  <sheetFormatPr defaultColWidth="9.00390625" defaultRowHeight="12.75"/>
  <cols>
    <col min="11" max="11" width="15.75390625" style="0" customWidth="1"/>
  </cols>
  <sheetData>
    <row r="1" spans="1:19" ht="12.75" customHeight="1">
      <c r="A1" s="23"/>
      <c r="B1" s="194" t="s">
        <v>8</v>
      </c>
      <c r="C1" s="195"/>
      <c r="D1" s="194" t="s">
        <v>9</v>
      </c>
      <c r="E1" s="195"/>
      <c r="F1" s="194" t="s">
        <v>2</v>
      </c>
      <c r="G1" s="195"/>
      <c r="H1" s="194" t="s">
        <v>10</v>
      </c>
      <c r="I1" s="195"/>
      <c r="K1" s="23"/>
      <c r="L1" s="12"/>
      <c r="M1" s="9">
        <v>2004</v>
      </c>
      <c r="N1" s="9">
        <v>2005</v>
      </c>
      <c r="O1" s="9">
        <v>2006</v>
      </c>
      <c r="P1" s="9" t="s">
        <v>32</v>
      </c>
      <c r="Q1" s="9">
        <v>2007</v>
      </c>
      <c r="R1" s="9">
        <v>2008</v>
      </c>
      <c r="S1" s="9">
        <v>2009</v>
      </c>
    </row>
    <row r="2" spans="1:19" ht="25.5">
      <c r="A2" s="24"/>
      <c r="B2" s="25" t="s">
        <v>11</v>
      </c>
      <c r="C2" s="25" t="s">
        <v>12</v>
      </c>
      <c r="D2" s="25" t="s">
        <v>11</v>
      </c>
      <c r="E2" s="25" t="s">
        <v>12</v>
      </c>
      <c r="F2" s="26" t="s">
        <v>11</v>
      </c>
      <c r="G2" s="25" t="s">
        <v>12</v>
      </c>
      <c r="H2" s="25" t="s">
        <v>11</v>
      </c>
      <c r="I2" s="25" t="s">
        <v>12</v>
      </c>
      <c r="K2" s="24" t="s">
        <v>29</v>
      </c>
      <c r="L2" s="42" t="s">
        <v>30</v>
      </c>
      <c r="M2" s="40">
        <f>+H$3*0.4287</f>
        <v>9.607167</v>
      </c>
      <c r="N2" s="40">
        <f>+H$4*0.4287</f>
        <v>17.409507</v>
      </c>
      <c r="O2" s="40">
        <f>+H$5*0.4287</f>
        <v>18.909957000000002</v>
      </c>
      <c r="P2" s="40">
        <f aca="true" t="shared" si="0" ref="P2:P9">SUM(M2:O2)</f>
        <v>45.926631</v>
      </c>
      <c r="Q2" s="40">
        <f>+H$6*0.4287</f>
        <v>18.909957000000002</v>
      </c>
      <c r="R2" s="40">
        <f>+H$7*0.4287</f>
        <v>20.710497000000004</v>
      </c>
      <c r="S2" s="40">
        <f>+H$8*0.4287</f>
        <v>4.50135</v>
      </c>
    </row>
    <row r="3" spans="1:19" ht="12.75">
      <c r="A3" s="9">
        <v>2004</v>
      </c>
      <c r="B3" s="7">
        <v>21.01</v>
      </c>
      <c r="C3" s="7">
        <v>23.75</v>
      </c>
      <c r="D3" s="7">
        <v>1.4</v>
      </c>
      <c r="E3" s="7">
        <v>1.58</v>
      </c>
      <c r="F3" s="27"/>
      <c r="G3" s="7"/>
      <c r="H3" s="7">
        <v>22.41</v>
      </c>
      <c r="I3" s="7">
        <v>25.34</v>
      </c>
      <c r="K3" s="9" t="s">
        <v>29</v>
      </c>
      <c r="L3" s="43" t="s">
        <v>31</v>
      </c>
      <c r="M3" s="40">
        <f>+H$13*0.4287</f>
        <v>423.65685036600007</v>
      </c>
      <c r="N3" s="40">
        <f>+H$14*0.4287</f>
        <v>767.724439686</v>
      </c>
      <c r="O3" s="40">
        <f>+H$15*0.4287</f>
        <v>833.891283786</v>
      </c>
      <c r="P3" s="40">
        <f t="shared" si="0"/>
        <v>2025.2725738380002</v>
      </c>
      <c r="Q3" s="40">
        <f>+H$16*0.4287</f>
        <v>833.891283786</v>
      </c>
      <c r="R3" s="40">
        <f>+H$17*0.4287</f>
        <v>913.2914967060001</v>
      </c>
      <c r="S3" s="40">
        <f>+H$18*0.4287</f>
        <v>198.5005323</v>
      </c>
    </row>
    <row r="4" spans="1:19" ht="12.75">
      <c r="A4" s="9">
        <v>2005</v>
      </c>
      <c r="B4" s="7">
        <v>12.6</v>
      </c>
      <c r="C4" s="7">
        <v>14.25</v>
      </c>
      <c r="D4" s="7">
        <v>28.01</v>
      </c>
      <c r="E4" s="7">
        <v>31.67</v>
      </c>
      <c r="F4" s="27"/>
      <c r="G4" s="7"/>
      <c r="H4" s="7">
        <v>40.61</v>
      </c>
      <c r="I4" s="7">
        <v>45.92</v>
      </c>
      <c r="K4" s="9" t="s">
        <v>12</v>
      </c>
      <c r="L4" s="43" t="s">
        <v>30</v>
      </c>
      <c r="M4" s="40">
        <f>+I$3*0.4287</f>
        <v>10.863258</v>
      </c>
      <c r="N4" s="40">
        <f>+I$4*0.4287</f>
        <v>19.685904</v>
      </c>
      <c r="O4" s="40">
        <f>+I$5*0.4287</f>
        <v>21.383556000000002</v>
      </c>
      <c r="P4" s="40">
        <f t="shared" si="0"/>
        <v>51.93271800000001</v>
      </c>
      <c r="Q4" s="40">
        <f>+I$6*0.4287</f>
        <v>21.383556000000002</v>
      </c>
      <c r="R4" s="40">
        <f>+I$7*0.4287</f>
        <v>23.419881000000004</v>
      </c>
      <c r="S4" s="40">
        <f>+I$8*0.4287</f>
        <v>5.092956000000001</v>
      </c>
    </row>
    <row r="5" spans="1:19" ht="12.75">
      <c r="A5" s="9">
        <v>2006</v>
      </c>
      <c r="B5" s="7"/>
      <c r="C5" s="7"/>
      <c r="D5" s="7">
        <v>44.11</v>
      </c>
      <c r="E5" s="7">
        <v>49.88</v>
      </c>
      <c r="F5" s="27"/>
      <c r="G5" s="7"/>
      <c r="H5" s="7">
        <v>44.11</v>
      </c>
      <c r="I5" s="7">
        <v>49.88</v>
      </c>
      <c r="K5" s="9" t="s">
        <v>12</v>
      </c>
      <c r="L5" s="43" t="s">
        <v>31</v>
      </c>
      <c r="M5" s="40">
        <f>+I$13*0.4287</f>
        <v>456.076782</v>
      </c>
      <c r="N5" s="40">
        <f>+I$14*0.4287</f>
        <v>826.8079680000001</v>
      </c>
      <c r="O5" s="40">
        <f>+I$15*0.4287</f>
        <v>898.1093520000001</v>
      </c>
      <c r="P5" s="40">
        <f t="shared" si="0"/>
        <v>2180.994102</v>
      </c>
      <c r="Q5" s="40">
        <f>+I$16*0.4287</f>
        <v>898.1093520000001</v>
      </c>
      <c r="R5" s="40">
        <f>+I$17*0.4287</f>
        <v>983.6350020000001</v>
      </c>
      <c r="S5" s="40">
        <f>+I$18*0.4287</f>
        <v>213.90415200000004</v>
      </c>
    </row>
    <row r="6" spans="1:19" ht="12.75">
      <c r="A6" s="9">
        <v>2007</v>
      </c>
      <c r="B6" s="7"/>
      <c r="C6" s="7"/>
      <c r="D6" s="7">
        <v>44.11</v>
      </c>
      <c r="E6" s="7">
        <v>49.88</v>
      </c>
      <c r="F6" s="7"/>
      <c r="G6" s="7"/>
      <c r="H6" s="7">
        <v>44.11</v>
      </c>
      <c r="I6" s="7">
        <v>49.88</v>
      </c>
      <c r="K6" s="24" t="s">
        <v>33</v>
      </c>
      <c r="L6" s="42" t="s">
        <v>35</v>
      </c>
      <c r="M6" s="40">
        <v>52.3</v>
      </c>
      <c r="N6" s="40">
        <v>70.3</v>
      </c>
      <c r="O6" s="40">
        <v>87.46</v>
      </c>
      <c r="P6" s="40">
        <f t="shared" si="0"/>
        <v>210.06</v>
      </c>
      <c r="Q6" s="40"/>
      <c r="R6" s="40"/>
      <c r="S6" s="40"/>
    </row>
    <row r="7" spans="1:19" ht="12.75">
      <c r="A7" s="9">
        <v>2008</v>
      </c>
      <c r="B7" s="7"/>
      <c r="C7" s="7"/>
      <c r="D7" s="7">
        <v>48.31</v>
      </c>
      <c r="E7" s="7">
        <v>54.63</v>
      </c>
      <c r="F7" s="7"/>
      <c r="G7" s="7"/>
      <c r="H7" s="7">
        <v>48.31</v>
      </c>
      <c r="I7" s="7">
        <v>54.63</v>
      </c>
      <c r="K7" s="9" t="s">
        <v>34</v>
      </c>
      <c r="L7" s="43" t="s">
        <v>35</v>
      </c>
      <c r="M7" s="40">
        <f>+M6*0.4287</f>
        <v>22.42101</v>
      </c>
      <c r="N7" s="40">
        <f>+N6*0.4287</f>
        <v>30.137610000000002</v>
      </c>
      <c r="O7" s="40">
        <f>+O6*0.4287</f>
        <v>37.494102</v>
      </c>
      <c r="P7" s="40">
        <f t="shared" si="0"/>
        <v>90.052722</v>
      </c>
      <c r="Q7" s="40"/>
      <c r="R7" s="40"/>
      <c r="S7" s="40"/>
    </row>
    <row r="8" spans="1:19" ht="12.75">
      <c r="A8" s="9">
        <v>2009</v>
      </c>
      <c r="B8" s="7"/>
      <c r="C8" s="7"/>
      <c r="D8" s="7"/>
      <c r="E8" s="7"/>
      <c r="F8" s="7">
        <v>10.5</v>
      </c>
      <c r="G8" s="7">
        <v>11.88</v>
      </c>
      <c r="H8" s="7">
        <v>10.5</v>
      </c>
      <c r="I8" s="7">
        <v>11.88</v>
      </c>
      <c r="K8" s="24" t="s">
        <v>33</v>
      </c>
      <c r="L8" s="43" t="s">
        <v>36</v>
      </c>
      <c r="M8" s="40">
        <v>62.8</v>
      </c>
      <c r="N8" s="40">
        <v>84.3</v>
      </c>
      <c r="O8" s="40">
        <v>104.9</v>
      </c>
      <c r="P8" s="40">
        <f t="shared" si="0"/>
        <v>252</v>
      </c>
      <c r="Q8" s="40"/>
      <c r="R8" s="40"/>
      <c r="S8" s="40"/>
    </row>
    <row r="9" spans="1:19" ht="12.75">
      <c r="A9" s="9" t="s">
        <v>5</v>
      </c>
      <c r="B9" s="11">
        <v>33.61</v>
      </c>
      <c r="C9" s="11">
        <v>38</v>
      </c>
      <c r="D9" s="11">
        <v>165.95</v>
      </c>
      <c r="E9" s="11">
        <v>187.64</v>
      </c>
      <c r="F9" s="11">
        <v>10.5</v>
      </c>
      <c r="G9" s="11">
        <v>11.88</v>
      </c>
      <c r="H9" s="11">
        <v>210.06</v>
      </c>
      <c r="I9" s="11">
        <v>237.52</v>
      </c>
      <c r="K9" s="9" t="s">
        <v>34</v>
      </c>
      <c r="L9" s="43" t="s">
        <v>36</v>
      </c>
      <c r="M9" s="40">
        <v>26.9</v>
      </c>
      <c r="N9" s="40">
        <v>36.15</v>
      </c>
      <c r="O9" s="40">
        <v>44.98</v>
      </c>
      <c r="P9" s="40">
        <f t="shared" si="0"/>
        <v>108.03</v>
      </c>
      <c r="Q9" s="40"/>
      <c r="R9" s="40"/>
      <c r="S9" s="40"/>
    </row>
    <row r="10" spans="13:16" ht="12.75">
      <c r="M10" s="40">
        <f>+M9+M8</f>
        <v>89.69999999999999</v>
      </c>
      <c r="N10" s="40">
        <f>+N9+N8</f>
        <v>120.44999999999999</v>
      </c>
      <c r="O10" s="40">
        <f>+O9+O8</f>
        <v>149.88</v>
      </c>
      <c r="P10" s="40">
        <f>+P9+P8</f>
        <v>360.03</v>
      </c>
    </row>
    <row r="11" spans="1:16" ht="12.75">
      <c r="A11" s="23"/>
      <c r="B11" s="194" t="s">
        <v>8</v>
      </c>
      <c r="C11" s="195"/>
      <c r="D11" s="194" t="s">
        <v>9</v>
      </c>
      <c r="E11" s="195"/>
      <c r="F11" s="194" t="s">
        <v>2</v>
      </c>
      <c r="G11" s="195"/>
      <c r="H11" s="194" t="s">
        <v>10</v>
      </c>
      <c r="I11" s="195"/>
      <c r="M11">
        <f>+M9/M10</f>
        <v>0.29988851727982163</v>
      </c>
      <c r="N11">
        <f>+N9/N10</f>
        <v>0.30012453300124536</v>
      </c>
      <c r="O11">
        <f>+O9/O10</f>
        <v>0.3001067520683213</v>
      </c>
      <c r="P11">
        <f>+P9/P10</f>
        <v>0.3000583284726273</v>
      </c>
    </row>
    <row r="12" spans="1:16" ht="25.5">
      <c r="A12" s="24"/>
      <c r="B12" s="25" t="s">
        <v>11</v>
      </c>
      <c r="C12" s="25" t="s">
        <v>12</v>
      </c>
      <c r="D12" s="25" t="s">
        <v>11</v>
      </c>
      <c r="E12" s="25" t="s">
        <v>12</v>
      </c>
      <c r="F12" s="26" t="s">
        <v>11</v>
      </c>
      <c r="G12" s="25" t="s">
        <v>12</v>
      </c>
      <c r="H12" s="25" t="s">
        <v>11</v>
      </c>
      <c r="I12" s="25" t="s">
        <v>12</v>
      </c>
      <c r="M12">
        <f>+M9/M8</f>
        <v>0.428343949044586</v>
      </c>
      <c r="N12">
        <f>+N9/N8</f>
        <v>0.4288256227758007</v>
      </c>
      <c r="O12">
        <f>+O9/O8</f>
        <v>0.4287893231649189</v>
      </c>
      <c r="P12">
        <f>+P9/P8</f>
        <v>0.4286904761904762</v>
      </c>
    </row>
    <row r="13" spans="1:13" ht="12.75">
      <c r="A13" s="9">
        <v>2004</v>
      </c>
      <c r="B13" s="28">
        <f>+B3*44.098</f>
        <v>926.4989800000001</v>
      </c>
      <c r="C13" s="28">
        <f>+C3*42</f>
        <v>997.5</v>
      </c>
      <c r="D13" s="28">
        <f>+D3*44.098</f>
        <v>61.737199999999994</v>
      </c>
      <c r="E13" s="28">
        <f>+E3*42</f>
        <v>66.36</v>
      </c>
      <c r="F13" s="30"/>
      <c r="G13" s="28"/>
      <c r="H13" s="28">
        <f aca="true" t="shared" si="1" ref="H13:H18">+D13+B13+F13</f>
        <v>988.2361800000001</v>
      </c>
      <c r="I13" s="28">
        <f aca="true" t="shared" si="2" ref="I13:I18">+E13+C13+G13</f>
        <v>1063.86</v>
      </c>
      <c r="M13" s="41">
        <v>52.3</v>
      </c>
    </row>
    <row r="14" spans="1:13" ht="12.75">
      <c r="A14" s="9">
        <v>2005</v>
      </c>
      <c r="B14" s="28">
        <f>+B4*44.098</f>
        <v>555.6347999999999</v>
      </c>
      <c r="C14" s="28">
        <f>+C4*42</f>
        <v>598.5</v>
      </c>
      <c r="D14" s="28">
        <f>+D4*44.098</f>
        <v>1235.18498</v>
      </c>
      <c r="E14" s="28">
        <f>+E4*42</f>
        <v>1330.14</v>
      </c>
      <c r="F14" s="30"/>
      <c r="G14" s="28"/>
      <c r="H14" s="28">
        <f t="shared" si="1"/>
        <v>1790.8197799999998</v>
      </c>
      <c r="I14" s="28">
        <f t="shared" si="2"/>
        <v>1928.64</v>
      </c>
      <c r="M14">
        <v>70.3</v>
      </c>
    </row>
    <row r="15" spans="1:13" ht="12.75">
      <c r="A15" s="9">
        <v>2006</v>
      </c>
      <c r="B15" s="28"/>
      <c r="C15" s="28"/>
      <c r="D15" s="28">
        <f>+D5*44.098</f>
        <v>1945.1627799999999</v>
      </c>
      <c r="E15" s="28">
        <f>+E5*42</f>
        <v>2094.96</v>
      </c>
      <c r="F15" s="30"/>
      <c r="G15" s="28"/>
      <c r="H15" s="28">
        <f t="shared" si="1"/>
        <v>1945.1627799999999</v>
      </c>
      <c r="I15" s="28">
        <f t="shared" si="2"/>
        <v>2094.96</v>
      </c>
      <c r="M15">
        <v>87.46</v>
      </c>
    </row>
    <row r="16" spans="1:9" ht="12.75">
      <c r="A16" s="9">
        <v>2007</v>
      </c>
      <c r="B16" s="28"/>
      <c r="C16" s="28"/>
      <c r="D16" s="28">
        <f>+D6*44.098</f>
        <v>1945.1627799999999</v>
      </c>
      <c r="E16" s="28">
        <f>+E6*42</f>
        <v>2094.96</v>
      </c>
      <c r="F16" s="28"/>
      <c r="G16" s="28"/>
      <c r="H16" s="28">
        <f t="shared" si="1"/>
        <v>1945.1627799999999</v>
      </c>
      <c r="I16" s="28">
        <f t="shared" si="2"/>
        <v>2094.96</v>
      </c>
    </row>
    <row r="17" spans="1:13" ht="12.75">
      <c r="A17" s="9">
        <v>2008</v>
      </c>
      <c r="B17" s="28"/>
      <c r="C17" s="28"/>
      <c r="D17" s="28">
        <f>+D7*44.098</f>
        <v>2130.37438</v>
      </c>
      <c r="E17" s="28">
        <f>+E7*42</f>
        <v>2294.46</v>
      </c>
      <c r="F17" s="28"/>
      <c r="G17" s="28"/>
      <c r="H17" s="28">
        <f t="shared" si="1"/>
        <v>2130.37438</v>
      </c>
      <c r="I17" s="28">
        <f t="shared" si="2"/>
        <v>2294.46</v>
      </c>
      <c r="M17" s="40">
        <f>+M2+H3</f>
        <v>32.017167</v>
      </c>
    </row>
    <row r="18" spans="1:13" ht="12.75">
      <c r="A18" s="9">
        <v>2009</v>
      </c>
      <c r="B18" s="28"/>
      <c r="C18" s="28"/>
      <c r="D18" s="28"/>
      <c r="E18" s="28"/>
      <c r="F18" s="28">
        <f>+F8*44.098</f>
        <v>463.029</v>
      </c>
      <c r="G18" s="28">
        <f>+G8*42</f>
        <v>498.96000000000004</v>
      </c>
      <c r="H18" s="28">
        <f t="shared" si="1"/>
        <v>463.029</v>
      </c>
      <c r="I18" s="28">
        <f t="shared" si="2"/>
        <v>498.96000000000004</v>
      </c>
      <c r="M18">
        <f>+M2/M17</f>
        <v>0.30006299433051026</v>
      </c>
    </row>
    <row r="19" spans="1:9" ht="12.75">
      <c r="A19" s="9" t="s">
        <v>5</v>
      </c>
      <c r="B19" s="29">
        <f aca="true" t="shared" si="3" ref="B19:I19">SUM(B13:B18)</f>
        <v>1482.1337800000001</v>
      </c>
      <c r="C19" s="29">
        <f t="shared" si="3"/>
        <v>1596</v>
      </c>
      <c r="D19" s="29">
        <f t="shared" si="3"/>
        <v>7317.62212</v>
      </c>
      <c r="E19" s="29">
        <f t="shared" si="3"/>
        <v>7880.88</v>
      </c>
      <c r="F19" s="29">
        <f t="shared" si="3"/>
        <v>463.029</v>
      </c>
      <c r="G19" s="29">
        <f t="shared" si="3"/>
        <v>498.96000000000004</v>
      </c>
      <c r="H19" s="29">
        <f t="shared" si="3"/>
        <v>9262.7849</v>
      </c>
      <c r="I19" s="29">
        <f t="shared" si="3"/>
        <v>9975.84</v>
      </c>
    </row>
    <row r="39" spans="2:6" ht="12.75">
      <c r="B39">
        <v>57.74</v>
      </c>
      <c r="C39">
        <f>+B39*42</f>
        <v>2425.08</v>
      </c>
      <c r="E39">
        <v>546.44</v>
      </c>
      <c r="F39">
        <f>+E39/I13</f>
        <v>0.5136390126520408</v>
      </c>
    </row>
    <row r="40" ht="12.75">
      <c r="C40">
        <f>+E39/C39</f>
        <v>0.2253286489517872</v>
      </c>
    </row>
    <row r="42" spans="2:3" ht="12.75">
      <c r="B42">
        <v>5312</v>
      </c>
      <c r="C42">
        <v>2700</v>
      </c>
    </row>
    <row r="43" ht="12.75">
      <c r="B43">
        <v>126.49</v>
      </c>
    </row>
    <row r="44" ht="12.75">
      <c r="B44">
        <f>+B42/B43</f>
        <v>41.99541465728516</v>
      </c>
    </row>
  </sheetData>
  <mergeCells count="8">
    <mergeCell ref="B11:C11"/>
    <mergeCell ref="D11:E11"/>
    <mergeCell ref="F11:G11"/>
    <mergeCell ref="H11:I11"/>
    <mergeCell ref="B1:C1"/>
    <mergeCell ref="D1:E1"/>
    <mergeCell ref="F1:G1"/>
    <mergeCell ref="H1:I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0"/>
  <sheetViews>
    <sheetView workbookViewId="0" topLeftCell="A132">
      <selection activeCell="D166" sqref="D166"/>
    </sheetView>
  </sheetViews>
  <sheetFormatPr defaultColWidth="9.00390625" defaultRowHeight="12.75"/>
  <cols>
    <col min="1" max="1" width="37.875" style="0" customWidth="1"/>
    <col min="2" max="3" width="10.00390625" style="0" bestFit="1" customWidth="1"/>
  </cols>
  <sheetData>
    <row r="1" spans="2:8" ht="12.7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8" ht="12.75">
      <c r="A2" t="s">
        <v>20</v>
      </c>
      <c r="C2">
        <v>676.59</v>
      </c>
      <c r="H2">
        <v>676.59</v>
      </c>
    </row>
    <row r="3" spans="1:8" ht="12.75">
      <c r="A3" t="s">
        <v>21</v>
      </c>
      <c r="B3">
        <v>508</v>
      </c>
      <c r="H3">
        <v>1285.75</v>
      </c>
    </row>
    <row r="4" spans="1:9" ht="12.75">
      <c r="A4" t="s">
        <v>24</v>
      </c>
      <c r="E4">
        <v>1275.03</v>
      </c>
      <c r="H4">
        <v>1275.03</v>
      </c>
      <c r="I4">
        <f>546/H4</f>
        <v>0.4282252182301593</v>
      </c>
    </row>
    <row r="5" spans="1:8" ht="12.75">
      <c r="A5" t="s">
        <v>22</v>
      </c>
      <c r="D5">
        <v>355.75</v>
      </c>
      <c r="F5">
        <v>609.47</v>
      </c>
      <c r="G5">
        <v>455.54</v>
      </c>
      <c r="H5">
        <v>1420.76</v>
      </c>
    </row>
    <row r="6" spans="1:8" ht="12.75">
      <c r="A6" t="s">
        <v>23</v>
      </c>
      <c r="D6">
        <v>165.91</v>
      </c>
      <c r="H6">
        <v>165.91</v>
      </c>
    </row>
    <row r="7" spans="1:8" ht="15.75">
      <c r="A7" s="36" t="s">
        <v>25</v>
      </c>
      <c r="B7" s="37">
        <v>99.44</v>
      </c>
      <c r="C7" s="38"/>
      <c r="D7" s="38"/>
      <c r="E7" s="38"/>
      <c r="F7" s="38"/>
      <c r="G7" s="38"/>
      <c r="H7" s="39">
        <v>201.83</v>
      </c>
    </row>
    <row r="8" spans="1:8" ht="15.75">
      <c r="A8" s="31" t="s">
        <v>26</v>
      </c>
      <c r="B8" s="32"/>
      <c r="C8" s="33">
        <v>9.31</v>
      </c>
      <c r="D8" s="33">
        <v>152.64</v>
      </c>
      <c r="E8" s="32"/>
      <c r="F8" s="32"/>
      <c r="G8" s="33">
        <v>24.2</v>
      </c>
      <c r="H8" s="34">
        <v>186.15</v>
      </c>
    </row>
    <row r="9" spans="1:8" ht="15.75">
      <c r="A9" s="31" t="s">
        <v>27</v>
      </c>
      <c r="B9" s="32"/>
      <c r="C9" s="32"/>
      <c r="D9" s="32"/>
      <c r="E9" s="32"/>
      <c r="F9" s="32"/>
      <c r="G9" s="32"/>
      <c r="H9" s="34">
        <v>99.65</v>
      </c>
    </row>
    <row r="10" spans="1:8" ht="12.75">
      <c r="A10" s="31" t="s">
        <v>28</v>
      </c>
      <c r="B10" s="34">
        <v>607.4</v>
      </c>
      <c r="C10" s="34">
        <v>685.9</v>
      </c>
      <c r="D10" s="34">
        <v>674.3</v>
      </c>
      <c r="E10" s="35">
        <v>1275.03</v>
      </c>
      <c r="F10" s="34">
        <v>609.47</v>
      </c>
      <c r="G10" s="34">
        <v>479.74</v>
      </c>
      <c r="H10" s="34">
        <f>SUM(H2:H9)</f>
        <v>5311.669999999999</v>
      </c>
    </row>
    <row r="14" spans="2:5" ht="12.75">
      <c r="B14">
        <v>1.1040411975211661</v>
      </c>
      <c r="C14">
        <v>1.128198818897638</v>
      </c>
      <c r="D14">
        <v>1.1487123685165035</v>
      </c>
      <c r="E14">
        <v>1.1314621143164973</v>
      </c>
    </row>
    <row r="16" ht="13.5" thickBot="1"/>
    <row r="17" spans="1:5" ht="27" thickBot="1" thickTop="1">
      <c r="A17" s="49" t="s">
        <v>41</v>
      </c>
      <c r="B17" s="50">
        <v>2004</v>
      </c>
      <c r="C17" s="50">
        <v>2005</v>
      </c>
      <c r="D17" s="50">
        <v>2006</v>
      </c>
      <c r="E17" s="51" t="s">
        <v>42</v>
      </c>
    </row>
    <row r="18" spans="1:5" ht="12.75" customHeight="1" thickTop="1">
      <c r="A18" s="44" t="s">
        <v>37</v>
      </c>
      <c r="B18" s="45">
        <f>SUM(B19:B21)</f>
        <v>125.1</v>
      </c>
      <c r="C18" s="45">
        <v>239.4</v>
      </c>
      <c r="D18" s="45">
        <v>263.1</v>
      </c>
      <c r="E18" s="46">
        <v>627.7</v>
      </c>
    </row>
    <row r="19" spans="1:5" ht="12.75" customHeight="1">
      <c r="A19" s="47" t="s">
        <v>38</v>
      </c>
      <c r="B19" s="7">
        <v>16.9</v>
      </c>
      <c r="C19" s="7">
        <v>48.1</v>
      </c>
      <c r="D19" s="7">
        <v>49.2</v>
      </c>
      <c r="E19" s="48">
        <v>114.3</v>
      </c>
    </row>
    <row r="20" spans="1:6" ht="12.75">
      <c r="A20" s="47" t="s">
        <v>39</v>
      </c>
      <c r="B20" s="7">
        <v>0</v>
      </c>
      <c r="C20" s="7">
        <v>73</v>
      </c>
      <c r="D20" s="7">
        <v>88.1</v>
      </c>
      <c r="E20" s="48">
        <v>161.1</v>
      </c>
      <c r="F20" s="55">
        <v>104</v>
      </c>
    </row>
    <row r="21" spans="1:5" ht="13.5" thickBot="1">
      <c r="A21" s="47" t="s">
        <v>40</v>
      </c>
      <c r="B21" s="7">
        <v>108.2</v>
      </c>
      <c r="C21" s="7">
        <v>118.3</v>
      </c>
      <c r="D21" s="7">
        <v>125.8</v>
      </c>
      <c r="E21" s="48">
        <v>352.3</v>
      </c>
    </row>
    <row r="22" spans="1:5" ht="13.5" thickTop="1">
      <c r="A22" s="44" t="s">
        <v>37</v>
      </c>
      <c r="B22" s="52">
        <f>SUM(B23:B25)</f>
        <v>138.11555380989788</v>
      </c>
      <c r="C22" s="52">
        <f>SUM(C23:C25)</f>
        <v>270.0907972440945</v>
      </c>
      <c r="D22" s="52">
        <f>SUM(D23:D25)</f>
        <v>302.22622415669207</v>
      </c>
      <c r="E22" s="53">
        <f>SUM(E23:E25)</f>
        <v>710.2187691564654</v>
      </c>
    </row>
    <row r="23" spans="1:5" ht="12.75">
      <c r="A23" s="47" t="s">
        <v>38</v>
      </c>
      <c r="B23" s="28">
        <f aca="true" t="shared" si="0" ref="B23:E25">+B19*B$14</f>
        <v>18.658296238107706</v>
      </c>
      <c r="C23" s="28">
        <f t="shared" si="0"/>
        <v>54.266363188976385</v>
      </c>
      <c r="D23" s="28">
        <f t="shared" si="0"/>
        <v>56.516648531011974</v>
      </c>
      <c r="E23" s="54">
        <f t="shared" si="0"/>
        <v>129.32611966637563</v>
      </c>
    </row>
    <row r="24" spans="1:5" ht="12.75">
      <c r="A24" s="47" t="s">
        <v>39</v>
      </c>
      <c r="B24" s="28">
        <f t="shared" si="0"/>
        <v>0</v>
      </c>
      <c r="C24" s="28">
        <f t="shared" si="0"/>
        <v>82.35851377952757</v>
      </c>
      <c r="D24" s="28">
        <f t="shared" si="0"/>
        <v>101.20155966630395</v>
      </c>
      <c r="E24" s="54">
        <f t="shared" si="0"/>
        <v>182.27854661638773</v>
      </c>
    </row>
    <row r="25" spans="1:5" ht="13.5" thickBot="1">
      <c r="A25" s="47" t="s">
        <v>40</v>
      </c>
      <c r="B25" s="28">
        <f t="shared" si="0"/>
        <v>119.45725757179018</v>
      </c>
      <c r="C25" s="28">
        <f t="shared" si="0"/>
        <v>133.46592027559058</v>
      </c>
      <c r="D25" s="28">
        <f t="shared" si="0"/>
        <v>144.50801595937614</v>
      </c>
      <c r="E25" s="54">
        <f t="shared" si="0"/>
        <v>398.61410287370205</v>
      </c>
    </row>
    <row r="26" spans="1:5" ht="13.5" thickTop="1">
      <c r="A26" s="44" t="s">
        <v>37</v>
      </c>
      <c r="B26" s="52">
        <f>SUM(B27:B29)</f>
        <v>5516.659799999999</v>
      </c>
      <c r="C26" s="52">
        <f>SUM(C27:C29)</f>
        <v>10557.0612</v>
      </c>
      <c r="D26" s="52">
        <f>SUM(D27:D29)</f>
        <v>11602.183799999999</v>
      </c>
      <c r="E26" s="53">
        <f>SUM(E27:E29)</f>
        <v>27680.314599999998</v>
      </c>
    </row>
    <row r="27" spans="1:5" ht="12.75">
      <c r="A27" s="47" t="s">
        <v>38</v>
      </c>
      <c r="B27" s="28">
        <f aca="true" t="shared" si="1" ref="B27:E29">+B19*44.098</f>
        <v>745.2561999999999</v>
      </c>
      <c r="C27" s="28">
        <f t="shared" si="1"/>
        <v>2121.1138</v>
      </c>
      <c r="D27" s="28">
        <f t="shared" si="1"/>
        <v>2169.6216</v>
      </c>
      <c r="E27" s="54">
        <f t="shared" si="1"/>
        <v>5040.4014</v>
      </c>
    </row>
    <row r="28" spans="1:5" ht="12.75">
      <c r="A28" s="47" t="s">
        <v>39</v>
      </c>
      <c r="B28" s="28">
        <f t="shared" si="1"/>
        <v>0</v>
      </c>
      <c r="C28" s="28">
        <f t="shared" si="1"/>
        <v>3219.154</v>
      </c>
      <c r="D28" s="28">
        <f t="shared" si="1"/>
        <v>3885.0337999999997</v>
      </c>
      <c r="E28" s="54">
        <f t="shared" si="1"/>
        <v>7104.1878</v>
      </c>
    </row>
    <row r="29" spans="1:5" ht="13.5" thickBot="1">
      <c r="A29" s="47" t="s">
        <v>40</v>
      </c>
      <c r="B29" s="28">
        <f t="shared" si="1"/>
        <v>4771.4036</v>
      </c>
      <c r="C29" s="28">
        <f t="shared" si="1"/>
        <v>5216.7934</v>
      </c>
      <c r="D29" s="28">
        <f t="shared" si="1"/>
        <v>5547.5284</v>
      </c>
      <c r="E29" s="54">
        <f t="shared" si="1"/>
        <v>15535.7254</v>
      </c>
    </row>
    <row r="30" spans="1:5" ht="13.5" thickTop="1">
      <c r="A30" s="44" t="s">
        <v>37</v>
      </c>
      <c r="B30" s="52">
        <f>SUM(B31:B33)</f>
        <v>5800.853260015711</v>
      </c>
      <c r="C30" s="52">
        <f>SUM(C31:C33)</f>
        <v>11343.81348425197</v>
      </c>
      <c r="D30" s="52">
        <f>SUM(D31:D33)</f>
        <v>12693.501414581067</v>
      </c>
      <c r="E30" s="53">
        <f>SUM(E31:E33)</f>
        <v>29829.188304571548</v>
      </c>
    </row>
    <row r="31" spans="1:10" ht="12.75">
      <c r="A31" s="47" t="s">
        <v>38</v>
      </c>
      <c r="B31" s="28">
        <f aca="true" t="shared" si="2" ref="B31:E33">+B23*42</f>
        <v>783.6484420005237</v>
      </c>
      <c r="C31" s="28">
        <f t="shared" si="2"/>
        <v>2279.1872539370083</v>
      </c>
      <c r="D31" s="28">
        <f t="shared" si="2"/>
        <v>2373.699238302503</v>
      </c>
      <c r="E31" s="28">
        <f t="shared" si="2"/>
        <v>5431.697025987776</v>
      </c>
      <c r="J31">
        <f>88.1/0.3*0.35</f>
        <v>102.78333333333333</v>
      </c>
    </row>
    <row r="32" spans="1:5" ht="12.75">
      <c r="A32" s="47" t="s">
        <v>39</v>
      </c>
      <c r="B32" s="28">
        <f t="shared" si="2"/>
        <v>0</v>
      </c>
      <c r="C32" s="28">
        <f t="shared" si="2"/>
        <v>3459.057578740158</v>
      </c>
      <c r="D32" s="28">
        <f t="shared" si="2"/>
        <v>4250.4655059847655</v>
      </c>
      <c r="E32" s="28">
        <f t="shared" si="2"/>
        <v>7655.698957888285</v>
      </c>
    </row>
    <row r="33" spans="1:5" ht="12.75">
      <c r="A33" s="47" t="s">
        <v>40</v>
      </c>
      <c r="B33" s="28">
        <f t="shared" si="2"/>
        <v>5017.204818015188</v>
      </c>
      <c r="C33" s="28">
        <f t="shared" si="2"/>
        <v>5605.568651574804</v>
      </c>
      <c r="D33" s="28">
        <f t="shared" si="2"/>
        <v>6069.336670293797</v>
      </c>
      <c r="E33" s="28">
        <f t="shared" si="2"/>
        <v>16741.792320695487</v>
      </c>
    </row>
    <row r="34" ht="13.5" thickBot="1"/>
    <row r="35" spans="1:19" ht="26.25" thickTop="1">
      <c r="A35" s="56"/>
      <c r="B35" s="58">
        <v>2004</v>
      </c>
      <c r="C35" s="57"/>
      <c r="D35" s="70"/>
      <c r="E35" s="67">
        <v>2005</v>
      </c>
      <c r="F35" s="57"/>
      <c r="G35" s="70"/>
      <c r="H35" s="67">
        <v>2006</v>
      </c>
      <c r="I35" s="57"/>
      <c r="J35" s="70"/>
      <c r="K35" s="67" t="s">
        <v>42</v>
      </c>
      <c r="L35" s="57"/>
      <c r="M35" s="59"/>
      <c r="Q35" s="94">
        <v>2004</v>
      </c>
      <c r="R35" s="95">
        <v>2005</v>
      </c>
      <c r="S35" s="96">
        <v>2006</v>
      </c>
    </row>
    <row r="36" spans="1:19" ht="15.75" thickBot="1">
      <c r="A36" s="73"/>
      <c r="B36" s="74" t="s">
        <v>43</v>
      </c>
      <c r="C36" s="75" t="s">
        <v>44</v>
      </c>
      <c r="D36" s="76" t="s">
        <v>5</v>
      </c>
      <c r="E36" s="77" t="s">
        <v>43</v>
      </c>
      <c r="F36" s="75" t="s">
        <v>44</v>
      </c>
      <c r="G36" s="76" t="s">
        <v>5</v>
      </c>
      <c r="H36" s="77" t="s">
        <v>43</v>
      </c>
      <c r="I36" s="75" t="s">
        <v>44</v>
      </c>
      <c r="J36" s="76" t="s">
        <v>5</v>
      </c>
      <c r="K36" s="77" t="s">
        <v>43</v>
      </c>
      <c r="L36" s="75" t="s">
        <v>44</v>
      </c>
      <c r="M36" s="78" t="s">
        <v>5</v>
      </c>
      <c r="Q36" s="97">
        <v>0.25</v>
      </c>
      <c r="R36" s="98">
        <v>0.3</v>
      </c>
      <c r="S36" s="99">
        <v>0.35</v>
      </c>
    </row>
    <row r="37" spans="1:19" ht="15.75" thickTop="1">
      <c r="A37" s="79" t="s">
        <v>37</v>
      </c>
      <c r="B37" s="80" t="e">
        <f>SUM(B38:B41)</f>
        <v>#REF!</v>
      </c>
      <c r="C37" s="80" t="e">
        <f>SUM(C38:C41)</f>
        <v>#REF!</v>
      </c>
      <c r="D37" s="81" t="e">
        <f>+C37+B37</f>
        <v>#REF!</v>
      </c>
      <c r="E37" s="82">
        <v>239.4</v>
      </c>
      <c r="F37" s="80" t="e">
        <f>SUM(F38:F41)</f>
        <v>#REF!</v>
      </c>
      <c r="G37" s="81" t="e">
        <f>+F37+E37</f>
        <v>#REF!</v>
      </c>
      <c r="H37" s="82">
        <v>263.1</v>
      </c>
      <c r="I37" s="80" t="e">
        <f>SUM(I38:I41)</f>
        <v>#REF!</v>
      </c>
      <c r="J37" s="81" t="e">
        <f>+I37+H37</f>
        <v>#REF!</v>
      </c>
      <c r="K37" s="83" t="e">
        <f>+H37+E37+B37</f>
        <v>#REF!</v>
      </c>
      <c r="L37" s="84" t="e">
        <f aca="true" t="shared" si="3" ref="L37:L56">+I37+F37+C37</f>
        <v>#REF!</v>
      </c>
      <c r="M37" s="85" t="e">
        <f>+L37+K37</f>
        <v>#REF!</v>
      </c>
      <c r="N37" s="40"/>
      <c r="O37" s="40"/>
      <c r="P37" s="40"/>
      <c r="Q37" s="100">
        <f>+C39</f>
        <v>82.5</v>
      </c>
      <c r="R37" s="101">
        <f>+H39</f>
        <v>99.5</v>
      </c>
      <c r="S37" s="102">
        <f>+S38/0.3*0.35</f>
        <v>116.1</v>
      </c>
    </row>
    <row r="38" spans="1:19" ht="15">
      <c r="A38" s="61" t="s">
        <v>38</v>
      </c>
      <c r="B38" s="60">
        <v>16.9</v>
      </c>
      <c r="C38" s="60"/>
      <c r="D38" s="71">
        <f aca="true" t="shared" si="4" ref="D38:D56">+C38+B38</f>
        <v>16.9</v>
      </c>
      <c r="E38" s="68">
        <v>48.1</v>
      </c>
      <c r="F38" s="62"/>
      <c r="G38" s="71">
        <f aca="true" t="shared" si="5" ref="G38:G56">+F38+E38</f>
        <v>48.1</v>
      </c>
      <c r="H38" s="68">
        <v>49.2</v>
      </c>
      <c r="I38" s="62"/>
      <c r="J38" s="71">
        <f aca="true" t="shared" si="6" ref="J38:J56">+I38+H38</f>
        <v>49.2</v>
      </c>
      <c r="K38" s="68">
        <f>+H38+E38+B38</f>
        <v>114.20000000000002</v>
      </c>
      <c r="L38" s="60">
        <f t="shared" si="3"/>
        <v>0</v>
      </c>
      <c r="M38" s="63">
        <f aca="true" t="shared" si="7" ref="M38:M56">+L38+K38</f>
        <v>114.20000000000002</v>
      </c>
      <c r="N38" s="40"/>
      <c r="O38" s="40"/>
      <c r="P38" s="40"/>
      <c r="Q38" s="100">
        <f>+C40</f>
        <v>99</v>
      </c>
      <c r="R38" s="101">
        <f>+F40</f>
        <v>99.5</v>
      </c>
      <c r="S38" s="102">
        <f>+I40</f>
        <v>99.51428571428572</v>
      </c>
    </row>
    <row r="39" spans="1:19" ht="15">
      <c r="A39" s="61" t="s">
        <v>39</v>
      </c>
      <c r="B39" s="60"/>
      <c r="C39" s="60">
        <f>73+9.5</f>
        <v>82.5</v>
      </c>
      <c r="D39" s="71">
        <f t="shared" si="4"/>
        <v>82.5</v>
      </c>
      <c r="E39" s="68">
        <f>73+9.5</f>
        <v>82.5</v>
      </c>
      <c r="F39" s="62">
        <f>+H39-E39</f>
        <v>17</v>
      </c>
      <c r="G39" s="71">
        <f t="shared" si="5"/>
        <v>99.5</v>
      </c>
      <c r="H39" s="68">
        <f>88.1+9.5/0.25*0.3</f>
        <v>99.5</v>
      </c>
      <c r="I39" s="62">
        <f>102.8+9.5/0.25*0.35-H39</f>
        <v>16.599999999999994</v>
      </c>
      <c r="J39" s="71">
        <f t="shared" si="6"/>
        <v>116.1</v>
      </c>
      <c r="K39" s="68">
        <f>+H39+E39+B39</f>
        <v>182</v>
      </c>
      <c r="L39" s="60">
        <f t="shared" si="3"/>
        <v>116.1</v>
      </c>
      <c r="M39" s="63">
        <f t="shared" si="7"/>
        <v>298.1</v>
      </c>
      <c r="N39" s="40"/>
      <c r="O39" s="40"/>
      <c r="P39" s="40"/>
      <c r="Q39" s="100">
        <f>SUM(Q37:Q38)</f>
        <v>181.5</v>
      </c>
      <c r="R39" s="100">
        <f>SUM(R37:R38)</f>
        <v>199</v>
      </c>
      <c r="S39" s="100">
        <f>SUM(S37:S38)</f>
        <v>215.6142857142857</v>
      </c>
    </row>
    <row r="40" spans="1:19" ht="15">
      <c r="A40" s="61" t="s">
        <v>45</v>
      </c>
      <c r="B40" s="60"/>
      <c r="C40" s="60">
        <f>+E39/0.25*0.3</f>
        <v>99</v>
      </c>
      <c r="D40" s="71">
        <f t="shared" si="4"/>
        <v>99</v>
      </c>
      <c r="E40" s="68"/>
      <c r="F40" s="60">
        <f>+H39/0.3*0.3</f>
        <v>99.5</v>
      </c>
      <c r="G40" s="71">
        <f t="shared" si="5"/>
        <v>99.5</v>
      </c>
      <c r="H40" s="68"/>
      <c r="I40" s="60">
        <f>102.8/0.35*0.3+9.5/0.25*0.3</f>
        <v>99.51428571428572</v>
      </c>
      <c r="J40" s="71">
        <f t="shared" si="6"/>
        <v>99.51428571428572</v>
      </c>
      <c r="K40" s="68"/>
      <c r="L40" s="60">
        <f t="shared" si="3"/>
        <v>298.01428571428573</v>
      </c>
      <c r="M40" s="63">
        <f t="shared" si="7"/>
        <v>298.01428571428573</v>
      </c>
      <c r="N40" s="40"/>
      <c r="O40" s="40"/>
      <c r="P40" s="40"/>
      <c r="Q40" s="100">
        <f>+C44</f>
        <v>91.08339879549621</v>
      </c>
      <c r="R40" s="101">
        <f>+H44</f>
        <v>114.2968806673921</v>
      </c>
      <c r="S40" s="102">
        <f>+S41/0.3*0.35</f>
        <v>133.3655059847661</v>
      </c>
    </row>
    <row r="41" spans="1:19" ht="15.75" thickBot="1">
      <c r="A41" s="86" t="s">
        <v>40</v>
      </c>
      <c r="B41" s="87" t="e">
        <f>+RD!#REF!</f>
        <v>#REF!</v>
      </c>
      <c r="C41" s="87" t="e">
        <f>+B41/0.8*0.2</f>
        <v>#REF!</v>
      </c>
      <c r="D41" s="88" t="e">
        <f t="shared" si="4"/>
        <v>#REF!</v>
      </c>
      <c r="E41" s="89" t="e">
        <f>+RD!#REF!</f>
        <v>#REF!</v>
      </c>
      <c r="F41" s="87" t="e">
        <f>+E41/0.8*0.2</f>
        <v>#REF!</v>
      </c>
      <c r="G41" s="88" t="e">
        <f t="shared" si="5"/>
        <v>#REF!</v>
      </c>
      <c r="H41" s="89" t="e">
        <f>+RD!#REF!</f>
        <v>#REF!</v>
      </c>
      <c r="I41" s="87" t="e">
        <f>+H41/0.8*0.2</f>
        <v>#REF!</v>
      </c>
      <c r="J41" s="88" t="e">
        <f t="shared" si="6"/>
        <v>#REF!</v>
      </c>
      <c r="K41" s="89" t="e">
        <f aca="true" t="shared" si="8" ref="K41:K56">+H41+E41+B41</f>
        <v>#REF!</v>
      </c>
      <c r="L41" s="87" t="e">
        <f t="shared" si="3"/>
        <v>#REF!</v>
      </c>
      <c r="M41" s="90" t="e">
        <f t="shared" si="7"/>
        <v>#REF!</v>
      </c>
      <c r="N41" s="40"/>
      <c r="O41" s="40"/>
      <c r="P41" s="40"/>
      <c r="Q41" s="100">
        <f>+C45</f>
        <v>109.30007855459544</v>
      </c>
      <c r="R41" s="101">
        <f>+F45</f>
        <v>112.25578248031498</v>
      </c>
      <c r="S41" s="102">
        <f>+I45</f>
        <v>114.3132908440852</v>
      </c>
    </row>
    <row r="42" spans="1:19" ht="15">
      <c r="A42" s="79" t="s">
        <v>37</v>
      </c>
      <c r="B42" s="80" t="e">
        <f>SUM(B43:B46)</f>
        <v>#REF!</v>
      </c>
      <c r="C42" s="80" t="e">
        <f>SUM(C43:C46)</f>
        <v>#REF!</v>
      </c>
      <c r="D42" s="81" t="e">
        <f t="shared" si="4"/>
        <v>#REF!</v>
      </c>
      <c r="E42" s="82" t="e">
        <f>SUM(E43:E46)</f>
        <v>#REF!</v>
      </c>
      <c r="F42" s="80" t="e">
        <f>SUM(F43:F46)</f>
        <v>#REF!</v>
      </c>
      <c r="G42" s="81" t="e">
        <f t="shared" si="5"/>
        <v>#REF!</v>
      </c>
      <c r="H42" s="82" t="e">
        <f>SUM(H43:H46)</f>
        <v>#REF!</v>
      </c>
      <c r="I42" s="80" t="e">
        <f>SUM(I43:I46)</f>
        <v>#REF!</v>
      </c>
      <c r="J42" s="81" t="e">
        <f t="shared" si="6"/>
        <v>#REF!</v>
      </c>
      <c r="K42" s="83" t="e">
        <f t="shared" si="8"/>
        <v>#REF!</v>
      </c>
      <c r="L42" s="84" t="e">
        <f t="shared" si="3"/>
        <v>#REF!</v>
      </c>
      <c r="M42" s="85" t="e">
        <f t="shared" si="7"/>
        <v>#REF!</v>
      </c>
      <c r="N42" s="40"/>
      <c r="O42" s="40"/>
      <c r="P42" s="40"/>
      <c r="Q42" s="100">
        <f>SUM(Q40:Q41)</f>
        <v>200.38347735009165</v>
      </c>
      <c r="R42" s="100">
        <f>SUM(R40:R41)</f>
        <v>226.55266314770708</v>
      </c>
      <c r="S42" s="100">
        <f>SUM(S40:S41)</f>
        <v>247.6787968288513</v>
      </c>
    </row>
    <row r="43" spans="1:19" ht="15">
      <c r="A43" s="61" t="s">
        <v>38</v>
      </c>
      <c r="B43" s="60">
        <f aca="true" t="shared" si="9" ref="B43:C46">+B38*$B$14</f>
        <v>18.658296238107706</v>
      </c>
      <c r="C43" s="60"/>
      <c r="D43" s="71">
        <f t="shared" si="4"/>
        <v>18.658296238107706</v>
      </c>
      <c r="E43" s="68">
        <f aca="true" t="shared" si="10" ref="E43:F46">+E38*$C$14</f>
        <v>54.266363188976385</v>
      </c>
      <c r="F43" s="60">
        <f t="shared" si="10"/>
        <v>0</v>
      </c>
      <c r="G43" s="71">
        <f t="shared" si="5"/>
        <v>54.266363188976385</v>
      </c>
      <c r="H43" s="68">
        <f aca="true" t="shared" si="11" ref="H43:I46">+H38*$D$14</f>
        <v>56.516648531011974</v>
      </c>
      <c r="I43" s="60"/>
      <c r="J43" s="71">
        <f t="shared" si="6"/>
        <v>56.516648531011974</v>
      </c>
      <c r="K43" s="68">
        <f t="shared" si="8"/>
        <v>129.44130795809608</v>
      </c>
      <c r="L43" s="60">
        <f t="shared" si="3"/>
        <v>0</v>
      </c>
      <c r="M43" s="63">
        <f t="shared" si="7"/>
        <v>129.44130795809608</v>
      </c>
      <c r="N43" s="40"/>
      <c r="O43" s="40"/>
      <c r="P43" s="40"/>
      <c r="Q43" s="100">
        <f>+C49</f>
        <v>3638.085</v>
      </c>
      <c r="R43" s="101">
        <f>+H49</f>
        <v>4387.751</v>
      </c>
      <c r="S43" s="102">
        <f>+S44/0.3*0.35</f>
        <v>5119.7778</v>
      </c>
    </row>
    <row r="44" spans="1:19" ht="15">
      <c r="A44" s="61" t="s">
        <v>39</v>
      </c>
      <c r="B44" s="60"/>
      <c r="C44" s="60">
        <f t="shared" si="9"/>
        <v>91.08339879549621</v>
      </c>
      <c r="D44" s="71">
        <f t="shared" si="4"/>
        <v>91.08339879549621</v>
      </c>
      <c r="E44" s="68">
        <f t="shared" si="10"/>
        <v>93.07640255905513</v>
      </c>
      <c r="F44" s="60">
        <f t="shared" si="10"/>
        <v>19.179379921259844</v>
      </c>
      <c r="G44" s="71">
        <f t="shared" si="5"/>
        <v>112.25578248031496</v>
      </c>
      <c r="H44" s="68">
        <f t="shared" si="11"/>
        <v>114.2968806673921</v>
      </c>
      <c r="I44" s="60">
        <f t="shared" si="11"/>
        <v>19.06862531737395</v>
      </c>
      <c r="J44" s="71">
        <f t="shared" si="6"/>
        <v>133.36550598476606</v>
      </c>
      <c r="K44" s="68">
        <f t="shared" si="8"/>
        <v>207.37328322644723</v>
      </c>
      <c r="L44" s="60">
        <f t="shared" si="3"/>
        <v>129.33140403413</v>
      </c>
      <c r="M44" s="63">
        <f t="shared" si="7"/>
        <v>336.7046872605772</v>
      </c>
      <c r="N44" s="40"/>
      <c r="O44" s="40"/>
      <c r="P44" s="40"/>
      <c r="Q44" s="100">
        <f>+C50</f>
        <v>4365.702</v>
      </c>
      <c r="R44" s="101">
        <f>+F50</f>
        <v>4387.751</v>
      </c>
      <c r="S44" s="102">
        <f>+I50</f>
        <v>4388.380971428572</v>
      </c>
    </row>
    <row r="45" spans="1:19" ht="15">
      <c r="A45" s="61" t="s">
        <v>45</v>
      </c>
      <c r="B45" s="60"/>
      <c r="C45" s="60">
        <f t="shared" si="9"/>
        <v>109.30007855459544</v>
      </c>
      <c r="D45" s="71">
        <f>+C45+B45</f>
        <v>109.30007855459544</v>
      </c>
      <c r="E45" s="68"/>
      <c r="F45" s="60">
        <f t="shared" si="10"/>
        <v>112.25578248031498</v>
      </c>
      <c r="G45" s="71">
        <f>+F45+E45</f>
        <v>112.25578248031498</v>
      </c>
      <c r="H45" s="68"/>
      <c r="I45" s="60">
        <f t="shared" si="11"/>
        <v>114.3132908440852</v>
      </c>
      <c r="J45" s="71">
        <f>+I45+H45</f>
        <v>114.3132908440852</v>
      </c>
      <c r="K45" s="68">
        <f>+H45+E45+B45</f>
        <v>0</v>
      </c>
      <c r="L45" s="60">
        <f>+I45+F45+C45</f>
        <v>335.8691518789956</v>
      </c>
      <c r="M45" s="63">
        <f>+L45+K45</f>
        <v>335.8691518789956</v>
      </c>
      <c r="N45" s="40"/>
      <c r="O45" s="40"/>
      <c r="P45" s="40"/>
      <c r="Q45" s="100">
        <f>SUM(Q43:Q44)</f>
        <v>8003.787</v>
      </c>
      <c r="R45" s="100">
        <f>SUM(R43:R44)</f>
        <v>8775.502</v>
      </c>
      <c r="S45" s="100">
        <f>SUM(S43:S44)</f>
        <v>9508.15877142857</v>
      </c>
    </row>
    <row r="46" spans="1:19" ht="15.75" thickBot="1">
      <c r="A46" s="86" t="s">
        <v>40</v>
      </c>
      <c r="B46" s="87" t="e">
        <f t="shared" si="9"/>
        <v>#REF!</v>
      </c>
      <c r="C46" s="87" t="e">
        <f t="shared" si="9"/>
        <v>#REF!</v>
      </c>
      <c r="D46" s="88" t="e">
        <f t="shared" si="4"/>
        <v>#REF!</v>
      </c>
      <c r="E46" s="89" t="e">
        <f t="shared" si="10"/>
        <v>#REF!</v>
      </c>
      <c r="F46" s="87" t="e">
        <f t="shared" si="10"/>
        <v>#REF!</v>
      </c>
      <c r="G46" s="88" t="e">
        <f t="shared" si="5"/>
        <v>#REF!</v>
      </c>
      <c r="H46" s="89" t="e">
        <f t="shared" si="11"/>
        <v>#REF!</v>
      </c>
      <c r="I46" s="87" t="e">
        <f t="shared" si="11"/>
        <v>#REF!</v>
      </c>
      <c r="J46" s="88" t="e">
        <f t="shared" si="6"/>
        <v>#REF!</v>
      </c>
      <c r="K46" s="89" t="e">
        <f t="shared" si="8"/>
        <v>#REF!</v>
      </c>
      <c r="L46" s="87" t="e">
        <f t="shared" si="3"/>
        <v>#REF!</v>
      </c>
      <c r="M46" s="90" t="e">
        <f t="shared" si="7"/>
        <v>#REF!</v>
      </c>
      <c r="N46" s="40"/>
      <c r="O46" s="40"/>
      <c r="P46" s="40"/>
      <c r="Q46" s="100">
        <f>+C54</f>
        <v>3825.502749410841</v>
      </c>
      <c r="R46" s="101">
        <f>+H54</f>
        <v>4800.468988030469</v>
      </c>
      <c r="S46" s="102">
        <f>+S47/0.3*0.35</f>
        <v>5601.3512513601745</v>
      </c>
    </row>
    <row r="47" spans="1:19" ht="15">
      <c r="A47" s="79" t="s">
        <v>37</v>
      </c>
      <c r="B47" s="80" t="e">
        <f>SUM(B48:B51)</f>
        <v>#REF!</v>
      </c>
      <c r="C47" s="80" t="e">
        <f>SUM(C48:C51)</f>
        <v>#REF!</v>
      </c>
      <c r="D47" s="81" t="e">
        <f t="shared" si="4"/>
        <v>#REF!</v>
      </c>
      <c r="E47" s="82" t="e">
        <f>SUM(E48:E51)</f>
        <v>#REF!</v>
      </c>
      <c r="F47" s="80" t="e">
        <f>SUM(F48:F51)</f>
        <v>#REF!</v>
      </c>
      <c r="G47" s="81" t="e">
        <f t="shared" si="5"/>
        <v>#REF!</v>
      </c>
      <c r="H47" s="82" t="e">
        <f>SUM(H48:H51)</f>
        <v>#REF!</v>
      </c>
      <c r="I47" s="80" t="e">
        <f>SUM(I48:I51)</f>
        <v>#REF!</v>
      </c>
      <c r="J47" s="81" t="e">
        <f t="shared" si="6"/>
        <v>#REF!</v>
      </c>
      <c r="K47" s="83" t="e">
        <f t="shared" si="8"/>
        <v>#REF!</v>
      </c>
      <c r="L47" s="84" t="e">
        <f t="shared" si="3"/>
        <v>#REF!</v>
      </c>
      <c r="M47" s="85" t="e">
        <f t="shared" si="7"/>
        <v>#REF!</v>
      </c>
      <c r="N47" s="40"/>
      <c r="O47" s="40"/>
      <c r="P47" s="40"/>
      <c r="Q47" s="100">
        <f>+C55</f>
        <v>4590.603299293009</v>
      </c>
      <c r="R47" s="101">
        <f>+F55</f>
        <v>4714.7428641732295</v>
      </c>
      <c r="S47" s="102">
        <f>+I55</f>
        <v>4801.158215451578</v>
      </c>
    </row>
    <row r="48" spans="1:19" ht="15">
      <c r="A48" s="61" t="s">
        <v>38</v>
      </c>
      <c r="B48" s="60">
        <f aca="true" t="shared" si="12" ref="B48:C51">+B38*44.098</f>
        <v>745.2561999999999</v>
      </c>
      <c r="C48" s="60"/>
      <c r="D48" s="71">
        <f t="shared" si="4"/>
        <v>745.2561999999999</v>
      </c>
      <c r="E48" s="68">
        <f aca="true" t="shared" si="13" ref="E48:F51">+E38*44.098</f>
        <v>2121.1138</v>
      </c>
      <c r="F48" s="60">
        <f t="shared" si="13"/>
        <v>0</v>
      </c>
      <c r="G48" s="71">
        <f t="shared" si="5"/>
        <v>2121.1138</v>
      </c>
      <c r="H48" s="68">
        <f aca="true" t="shared" si="14" ref="H48:I51">+H38*44.098</f>
        <v>2169.6216</v>
      </c>
      <c r="I48" s="60"/>
      <c r="J48" s="71">
        <f t="shared" si="6"/>
        <v>2169.6216</v>
      </c>
      <c r="K48" s="68">
        <f t="shared" si="8"/>
        <v>5035.991599999999</v>
      </c>
      <c r="L48" s="60">
        <f t="shared" si="3"/>
        <v>0</v>
      </c>
      <c r="M48" s="63">
        <f t="shared" si="7"/>
        <v>5035.991599999999</v>
      </c>
      <c r="N48" s="40"/>
      <c r="O48" s="40"/>
      <c r="P48" s="40"/>
      <c r="Q48" s="100">
        <f>SUM(Q46:Q47)</f>
        <v>8416.106048703849</v>
      </c>
      <c r="R48" s="100">
        <f>SUM(R46:R47)</f>
        <v>9515.211852203698</v>
      </c>
      <c r="S48" s="100">
        <f>SUM(S46:S47)</f>
        <v>10402.509466811753</v>
      </c>
    </row>
    <row r="49" spans="1:17" ht="12.75">
      <c r="A49" s="61" t="s">
        <v>39</v>
      </c>
      <c r="B49" s="60"/>
      <c r="C49" s="60">
        <f t="shared" si="12"/>
        <v>3638.085</v>
      </c>
      <c r="D49" s="71">
        <f t="shared" si="4"/>
        <v>3638.085</v>
      </c>
      <c r="E49" s="68">
        <f t="shared" si="13"/>
        <v>3638.085</v>
      </c>
      <c r="F49" s="60">
        <f t="shared" si="13"/>
        <v>749.6659999999999</v>
      </c>
      <c r="G49" s="71">
        <f t="shared" si="5"/>
        <v>4387.751</v>
      </c>
      <c r="H49" s="68">
        <f t="shared" si="14"/>
        <v>4387.751</v>
      </c>
      <c r="I49" s="60">
        <f t="shared" si="14"/>
        <v>732.0267999999998</v>
      </c>
      <c r="J49" s="71">
        <f t="shared" si="6"/>
        <v>5119.7778</v>
      </c>
      <c r="K49" s="68">
        <f t="shared" si="8"/>
        <v>8025.836</v>
      </c>
      <c r="L49" s="60">
        <f t="shared" si="3"/>
        <v>5119.7778</v>
      </c>
      <c r="M49" s="63">
        <f t="shared" si="7"/>
        <v>13145.6138</v>
      </c>
      <c r="N49" s="40"/>
      <c r="O49" s="40"/>
      <c r="P49" s="40"/>
      <c r="Q49" s="40">
        <f>AVERAGE(Q45:S45)</f>
        <v>8762.482590476191</v>
      </c>
    </row>
    <row r="50" spans="1:16" ht="12.75">
      <c r="A50" s="61" t="s">
        <v>45</v>
      </c>
      <c r="B50" s="60"/>
      <c r="C50" s="60">
        <f t="shared" si="12"/>
        <v>4365.702</v>
      </c>
      <c r="D50" s="71">
        <f>+C50+B50</f>
        <v>4365.702</v>
      </c>
      <c r="E50" s="68"/>
      <c r="F50" s="60">
        <f t="shared" si="13"/>
        <v>4387.751</v>
      </c>
      <c r="G50" s="71">
        <f>+F50+E50</f>
        <v>4387.751</v>
      </c>
      <c r="H50" s="68"/>
      <c r="I50" s="60">
        <f t="shared" si="14"/>
        <v>4388.380971428572</v>
      </c>
      <c r="J50" s="71">
        <f>+I50+H50</f>
        <v>4388.380971428572</v>
      </c>
      <c r="K50" s="68">
        <f>+H50+E50+B50</f>
        <v>0</v>
      </c>
      <c r="L50" s="60">
        <f>+I50+F50+C50</f>
        <v>13141.833971428572</v>
      </c>
      <c r="M50" s="63">
        <f>+L50+K50</f>
        <v>13141.833971428572</v>
      </c>
      <c r="N50" s="40"/>
      <c r="O50" s="40"/>
      <c r="P50" s="40"/>
    </row>
    <row r="51" spans="1:19" ht="13.5" thickBot="1">
      <c r="A51" s="86" t="s">
        <v>40</v>
      </c>
      <c r="B51" s="87" t="e">
        <f t="shared" si="12"/>
        <v>#REF!</v>
      </c>
      <c r="C51" s="87" t="e">
        <f t="shared" si="12"/>
        <v>#REF!</v>
      </c>
      <c r="D51" s="88" t="e">
        <f t="shared" si="4"/>
        <v>#REF!</v>
      </c>
      <c r="E51" s="89" t="e">
        <f t="shared" si="13"/>
        <v>#REF!</v>
      </c>
      <c r="F51" s="87" t="e">
        <f t="shared" si="13"/>
        <v>#REF!</v>
      </c>
      <c r="G51" s="88" t="e">
        <f t="shared" si="5"/>
        <v>#REF!</v>
      </c>
      <c r="H51" s="89" t="e">
        <f t="shared" si="14"/>
        <v>#REF!</v>
      </c>
      <c r="I51" s="87" t="e">
        <f t="shared" si="14"/>
        <v>#REF!</v>
      </c>
      <c r="J51" s="88" t="e">
        <f t="shared" si="6"/>
        <v>#REF!</v>
      </c>
      <c r="K51" s="89" t="e">
        <f t="shared" si="8"/>
        <v>#REF!</v>
      </c>
      <c r="L51" s="87" t="e">
        <f t="shared" si="3"/>
        <v>#REF!</v>
      </c>
      <c r="M51" s="90" t="e">
        <f t="shared" si="7"/>
        <v>#REF!</v>
      </c>
      <c r="N51" s="40"/>
      <c r="O51" s="40"/>
      <c r="P51" s="40"/>
      <c r="Q51">
        <f>+Q44/0.3*0.15</f>
        <v>2182.851</v>
      </c>
      <c r="R51">
        <f>+R44/0.3*0.15</f>
        <v>2193.8755</v>
      </c>
      <c r="S51">
        <f>+S44/0.3*0.15</f>
        <v>2194.190485714286</v>
      </c>
    </row>
    <row r="52" spans="1:19" ht="12.75">
      <c r="A52" s="79" t="s">
        <v>37</v>
      </c>
      <c r="B52" s="80" t="e">
        <f>SUM(B53:B56)</f>
        <v>#REF!</v>
      </c>
      <c r="C52" s="80" t="e">
        <f>SUM(C53:C56)</f>
        <v>#REF!</v>
      </c>
      <c r="D52" s="81" t="e">
        <f t="shared" si="4"/>
        <v>#REF!</v>
      </c>
      <c r="E52" s="82" t="e">
        <f>SUM(E53:E56)</f>
        <v>#REF!</v>
      </c>
      <c r="F52" s="80" t="e">
        <f>SUM(F53:F56)</f>
        <v>#REF!</v>
      </c>
      <c r="G52" s="81" t="e">
        <f t="shared" si="5"/>
        <v>#REF!</v>
      </c>
      <c r="H52" s="82" t="e">
        <f>SUM(H53:H56)</f>
        <v>#REF!</v>
      </c>
      <c r="I52" s="80" t="e">
        <f>SUM(I53:I56)</f>
        <v>#REF!</v>
      </c>
      <c r="J52" s="81" t="e">
        <f t="shared" si="6"/>
        <v>#REF!</v>
      </c>
      <c r="K52" s="83" t="e">
        <f t="shared" si="8"/>
        <v>#REF!</v>
      </c>
      <c r="L52" s="84" t="e">
        <f t="shared" si="3"/>
        <v>#REF!</v>
      </c>
      <c r="M52" s="85" t="e">
        <f t="shared" si="7"/>
        <v>#REF!</v>
      </c>
      <c r="N52" s="40"/>
      <c r="O52" s="40"/>
      <c r="P52" s="40"/>
      <c r="Q52" s="40">
        <f>+Q45-Q44+Q51</f>
        <v>5820.936</v>
      </c>
      <c r="R52" s="40">
        <f>+R45-R44+R51</f>
        <v>6581.6265</v>
      </c>
      <c r="S52" s="40">
        <f>+S45-S44+S51</f>
        <v>7313.968285714285</v>
      </c>
    </row>
    <row r="53" spans="1:17" ht="12.75">
      <c r="A53" s="61" t="s">
        <v>38</v>
      </c>
      <c r="B53" s="60">
        <f aca="true" t="shared" si="15" ref="B53:C56">+B43*42</f>
        <v>783.6484420005237</v>
      </c>
      <c r="C53" s="60"/>
      <c r="D53" s="71">
        <f t="shared" si="4"/>
        <v>783.6484420005237</v>
      </c>
      <c r="E53" s="68">
        <f aca="true" t="shared" si="16" ref="E53:F56">+E43*42</f>
        <v>2279.1872539370083</v>
      </c>
      <c r="F53" s="60">
        <f t="shared" si="16"/>
        <v>0</v>
      </c>
      <c r="G53" s="71">
        <f t="shared" si="5"/>
        <v>2279.1872539370083</v>
      </c>
      <c r="H53" s="68">
        <f aca="true" t="shared" si="17" ref="H53:I56">+H43*42</f>
        <v>2373.699238302503</v>
      </c>
      <c r="I53" s="60"/>
      <c r="J53" s="71">
        <f t="shared" si="6"/>
        <v>2373.699238302503</v>
      </c>
      <c r="K53" s="68">
        <f t="shared" si="8"/>
        <v>5436.534934240035</v>
      </c>
      <c r="L53" s="60">
        <f t="shared" si="3"/>
        <v>0</v>
      </c>
      <c r="M53" s="63">
        <f t="shared" si="7"/>
        <v>5436.534934240035</v>
      </c>
      <c r="N53" s="40"/>
      <c r="O53" s="40"/>
      <c r="P53" s="40"/>
      <c r="Q53">
        <f>AVERAGE(Q52:S52)</f>
        <v>6572.176928571428</v>
      </c>
    </row>
    <row r="54" spans="1:16" ht="12.75">
      <c r="A54" s="61" t="s">
        <v>39</v>
      </c>
      <c r="B54" s="60"/>
      <c r="C54" s="60">
        <f t="shared" si="15"/>
        <v>3825.502749410841</v>
      </c>
      <c r="D54" s="71">
        <f t="shared" si="4"/>
        <v>3825.502749410841</v>
      </c>
      <c r="E54" s="68">
        <f t="shared" si="16"/>
        <v>3909.2089074803152</v>
      </c>
      <c r="F54" s="60">
        <f t="shared" si="16"/>
        <v>805.5339566929134</v>
      </c>
      <c r="G54" s="71">
        <f t="shared" si="5"/>
        <v>4714.742864173229</v>
      </c>
      <c r="H54" s="68">
        <f t="shared" si="17"/>
        <v>4800.468988030469</v>
      </c>
      <c r="I54" s="60">
        <f t="shared" si="17"/>
        <v>800.8822633297059</v>
      </c>
      <c r="J54" s="71">
        <f t="shared" si="6"/>
        <v>5601.3512513601745</v>
      </c>
      <c r="K54" s="68">
        <f t="shared" si="8"/>
        <v>8709.677895510784</v>
      </c>
      <c r="L54" s="60">
        <f t="shared" si="3"/>
        <v>5431.91896943346</v>
      </c>
      <c r="M54" s="63">
        <f t="shared" si="7"/>
        <v>14141.596864944244</v>
      </c>
      <c r="N54" s="40"/>
      <c r="O54" s="40"/>
      <c r="P54" s="40"/>
    </row>
    <row r="55" spans="1:18" ht="12.75">
      <c r="A55" s="61" t="s">
        <v>45</v>
      </c>
      <c r="B55" s="60"/>
      <c r="C55" s="60">
        <f t="shared" si="15"/>
        <v>4590.603299293009</v>
      </c>
      <c r="D55" s="71">
        <f>+C55+B55</f>
        <v>4590.603299293009</v>
      </c>
      <c r="E55" s="68"/>
      <c r="F55" s="60">
        <f t="shared" si="16"/>
        <v>4714.7428641732295</v>
      </c>
      <c r="G55" s="71">
        <f>+F55+E55</f>
        <v>4714.7428641732295</v>
      </c>
      <c r="H55" s="68"/>
      <c r="I55" s="60">
        <f t="shared" si="17"/>
        <v>4801.158215451578</v>
      </c>
      <c r="J55" s="71">
        <f>+I55+H55</f>
        <v>4801.158215451578</v>
      </c>
      <c r="K55" s="68">
        <f>+H55+E55+B55</f>
        <v>0</v>
      </c>
      <c r="L55" s="60">
        <f>+I55+F55+C55</f>
        <v>14106.504378917816</v>
      </c>
      <c r="M55" s="63">
        <f>+L55+K55</f>
        <v>14106.504378917816</v>
      </c>
      <c r="N55" s="40"/>
      <c r="O55" s="40"/>
      <c r="P55" s="40"/>
      <c r="Q55" s="40"/>
      <c r="R55" s="40"/>
    </row>
    <row r="56" spans="1:18" ht="13.5" thickBot="1">
      <c r="A56" s="64" t="s">
        <v>40</v>
      </c>
      <c r="B56" s="65" t="e">
        <f t="shared" si="15"/>
        <v>#REF!</v>
      </c>
      <c r="C56" s="65" t="e">
        <f t="shared" si="15"/>
        <v>#REF!</v>
      </c>
      <c r="D56" s="72" t="e">
        <f t="shared" si="4"/>
        <v>#REF!</v>
      </c>
      <c r="E56" s="69" t="e">
        <f t="shared" si="16"/>
        <v>#REF!</v>
      </c>
      <c r="F56" s="65" t="e">
        <f t="shared" si="16"/>
        <v>#REF!</v>
      </c>
      <c r="G56" s="72" t="e">
        <f t="shared" si="5"/>
        <v>#REF!</v>
      </c>
      <c r="H56" s="69" t="e">
        <f t="shared" si="17"/>
        <v>#REF!</v>
      </c>
      <c r="I56" s="65" t="e">
        <f t="shared" si="17"/>
        <v>#REF!</v>
      </c>
      <c r="J56" s="72" t="e">
        <f t="shared" si="6"/>
        <v>#REF!</v>
      </c>
      <c r="K56" s="69" t="e">
        <f t="shared" si="8"/>
        <v>#REF!</v>
      </c>
      <c r="L56" s="65" t="e">
        <f t="shared" si="3"/>
        <v>#REF!</v>
      </c>
      <c r="M56" s="66" t="e">
        <f t="shared" si="7"/>
        <v>#REF!</v>
      </c>
      <c r="N56" s="40"/>
      <c r="O56" s="40"/>
      <c r="P56" s="40"/>
      <c r="Q56" s="40"/>
      <c r="R56" s="40"/>
    </row>
    <row r="57" spans="2:18" ht="13.5" thickTop="1">
      <c r="B57" s="40"/>
      <c r="C57" s="40">
        <f>+C55+C54</f>
        <v>8416.106048703849</v>
      </c>
      <c r="D57" s="40">
        <f>+D55+D54</f>
        <v>8416.106048703849</v>
      </c>
      <c r="E57" s="40">
        <f>+E55+E54</f>
        <v>3909.2089074803152</v>
      </c>
      <c r="F57" s="40">
        <f>+F55+F54</f>
        <v>5520.276820866143</v>
      </c>
      <c r="G57" s="40">
        <f>+G55+G54</f>
        <v>9429.485728346459</v>
      </c>
      <c r="H57" s="40"/>
      <c r="I57" s="40"/>
      <c r="J57" s="40">
        <f>+J55+J54</f>
        <v>10402.509466811753</v>
      </c>
      <c r="K57" s="40"/>
      <c r="L57" s="40"/>
      <c r="M57" s="40"/>
      <c r="N57" s="40"/>
      <c r="O57" s="40"/>
      <c r="P57" s="40"/>
      <c r="Q57" s="40"/>
      <c r="R57" s="40"/>
    </row>
    <row r="58" spans="3:4" ht="12.75">
      <c r="C58" s="40">
        <f>+C57-2921</f>
        <v>5495.1060487038485</v>
      </c>
      <c r="D58" s="40"/>
    </row>
    <row r="59" ht="12.75">
      <c r="C59" s="40">
        <f>+C39+C40</f>
        <v>181.5</v>
      </c>
    </row>
    <row r="60" ht="12.75">
      <c r="C60" s="40">
        <f>+C59-63</f>
        <v>118.5</v>
      </c>
    </row>
    <row r="61" spans="1:5" ht="12.75">
      <c r="A61" s="92" t="s">
        <v>37</v>
      </c>
      <c r="B61" s="92">
        <v>2004</v>
      </c>
      <c r="C61" s="92">
        <v>2005</v>
      </c>
      <c r="D61" s="92">
        <v>2006</v>
      </c>
      <c r="E61" s="92" t="s">
        <v>53</v>
      </c>
    </row>
    <row r="62" ht="12.75">
      <c r="A62" s="92" t="s">
        <v>46</v>
      </c>
    </row>
    <row r="63" spans="1:5" ht="12.75">
      <c r="A63" s="91" t="s">
        <v>47</v>
      </c>
      <c r="B63" s="93">
        <f>+B21</f>
        <v>108.2</v>
      </c>
      <c r="C63" s="93">
        <f>+C21</f>
        <v>118.3</v>
      </c>
      <c r="D63" s="93">
        <f>+D21</f>
        <v>125.8</v>
      </c>
      <c r="E63" s="93">
        <f>SUM(B63:D63)</f>
        <v>352.3</v>
      </c>
    </row>
    <row r="64" spans="1:5" ht="12.75">
      <c r="A64" s="91" t="s">
        <v>48</v>
      </c>
      <c r="B64" s="93">
        <f>+B63/0.8*0.2</f>
        <v>27.05</v>
      </c>
      <c r="C64" s="93">
        <f>+C63/0.8*0.2</f>
        <v>29.575000000000003</v>
      </c>
      <c r="D64" s="93">
        <f>+D63/0.8*0.2</f>
        <v>31.450000000000003</v>
      </c>
      <c r="E64" s="93">
        <f aca="true" t="shared" si="18" ref="E64:E80">SUM(B64:D64)</f>
        <v>88.075</v>
      </c>
    </row>
    <row r="65" spans="1:5" ht="12.75">
      <c r="A65" s="92" t="s">
        <v>49</v>
      </c>
      <c r="B65" s="93"/>
      <c r="C65" s="93"/>
      <c r="D65" s="93"/>
      <c r="E65" s="93"/>
    </row>
    <row r="66" spans="1:5" ht="12.75">
      <c r="A66" s="91" t="s">
        <v>47</v>
      </c>
      <c r="B66" s="93">
        <v>62.8</v>
      </c>
      <c r="C66" s="93">
        <v>84.3</v>
      </c>
      <c r="D66" s="93">
        <v>104.9</v>
      </c>
      <c r="E66" s="93">
        <f t="shared" si="18"/>
        <v>252</v>
      </c>
    </row>
    <row r="67" spans="1:5" ht="12.75">
      <c r="A67" s="91" t="s">
        <v>48</v>
      </c>
      <c r="B67" s="93">
        <f>+B66/0.7*0.3</f>
        <v>26.914285714285715</v>
      </c>
      <c r="C67" s="93">
        <f>+C66/0.7*0.3</f>
        <v>36.128571428571426</v>
      </c>
      <c r="D67" s="93">
        <f>+D66/0.7*0.3</f>
        <v>44.957142857142856</v>
      </c>
      <c r="E67" s="93">
        <f t="shared" si="18"/>
        <v>108</v>
      </c>
    </row>
    <row r="68" spans="1:5" ht="12.75">
      <c r="A68" s="92" t="s">
        <v>50</v>
      </c>
      <c r="B68" s="93"/>
      <c r="C68" s="93"/>
      <c r="D68" s="93"/>
      <c r="E68" s="93">
        <f t="shared" si="18"/>
        <v>0</v>
      </c>
    </row>
    <row r="69" spans="1:5" ht="12.75">
      <c r="A69" s="91" t="s">
        <v>47</v>
      </c>
      <c r="B69" s="93"/>
      <c r="C69" s="93">
        <f>+C39</f>
        <v>82.5</v>
      </c>
      <c r="D69" s="93">
        <f>+G39</f>
        <v>99.5</v>
      </c>
      <c r="E69" s="93">
        <f t="shared" si="18"/>
        <v>182</v>
      </c>
    </row>
    <row r="70" spans="1:5" ht="12.75">
      <c r="A70" s="91" t="s">
        <v>48</v>
      </c>
      <c r="B70" s="93">
        <f>+C39+C40</f>
        <v>181.5</v>
      </c>
      <c r="C70" s="93">
        <f>+G40+G39</f>
        <v>199</v>
      </c>
      <c r="D70" s="93">
        <f>+J39+J40</f>
        <v>215.6142857142857</v>
      </c>
      <c r="E70" s="93">
        <f t="shared" si="18"/>
        <v>596.1142857142856</v>
      </c>
    </row>
    <row r="71" spans="1:5" ht="12.75">
      <c r="A71" s="91"/>
      <c r="B71" s="93" t="s">
        <v>54</v>
      </c>
      <c r="C71" s="93" t="s">
        <v>55</v>
      </c>
      <c r="D71" s="93" t="s">
        <v>56</v>
      </c>
      <c r="E71" s="93"/>
    </row>
    <row r="72" spans="1:5" ht="25.5">
      <c r="A72" s="92" t="s">
        <v>51</v>
      </c>
      <c r="B72" s="93"/>
      <c r="C72" s="93"/>
      <c r="D72" s="93"/>
      <c r="E72" s="93"/>
    </row>
    <row r="73" spans="1:5" ht="12.75">
      <c r="A73" s="91" t="s">
        <v>47</v>
      </c>
      <c r="B73" s="93">
        <v>25.295</v>
      </c>
      <c r="C73" s="93">
        <v>15.72</v>
      </c>
      <c r="D73" s="93">
        <v>8.682</v>
      </c>
      <c r="E73" s="93">
        <f t="shared" si="18"/>
        <v>49.697</v>
      </c>
    </row>
    <row r="74" spans="1:5" ht="12.75">
      <c r="A74" s="91" t="s">
        <v>48</v>
      </c>
      <c r="B74" s="93">
        <v>8.432</v>
      </c>
      <c r="C74" s="93">
        <v>5.24</v>
      </c>
      <c r="D74" s="93">
        <v>2.894</v>
      </c>
      <c r="E74" s="93">
        <f t="shared" si="18"/>
        <v>16.566000000000003</v>
      </c>
    </row>
    <row r="75" spans="1:5" ht="25.5">
      <c r="A75" s="92" t="s">
        <v>52</v>
      </c>
      <c r="B75" s="93"/>
      <c r="C75" s="93"/>
      <c r="D75" s="93"/>
      <c r="E75" s="93"/>
    </row>
    <row r="76" spans="1:5" ht="12.75">
      <c r="A76" s="91" t="s">
        <v>47</v>
      </c>
      <c r="B76" s="93">
        <v>54.6</v>
      </c>
      <c r="C76" s="93"/>
      <c r="D76" s="93"/>
      <c r="E76" s="93">
        <f t="shared" si="18"/>
        <v>54.6</v>
      </c>
    </row>
    <row r="77" spans="1:5" ht="12.75">
      <c r="A77" s="91" t="s">
        <v>48</v>
      </c>
      <c r="B77" s="93">
        <v>175</v>
      </c>
      <c r="C77" s="93">
        <v>190</v>
      </c>
      <c r="D77" s="93">
        <v>205</v>
      </c>
      <c r="E77" s="93">
        <f t="shared" si="18"/>
        <v>570</v>
      </c>
    </row>
    <row r="78" spans="1:5" ht="12.75">
      <c r="A78" s="92" t="s">
        <v>5</v>
      </c>
      <c r="B78" s="93"/>
      <c r="C78" s="93"/>
      <c r="D78" s="93"/>
      <c r="E78" s="93">
        <f t="shared" si="18"/>
        <v>0</v>
      </c>
    </row>
    <row r="79" spans="1:5" ht="12.75">
      <c r="A79" s="91" t="s">
        <v>47</v>
      </c>
      <c r="B79" s="93">
        <f aca="true" t="shared" si="19" ref="B79:D80">+B63+B66+B69+B73+B76</f>
        <v>250.895</v>
      </c>
      <c r="C79" s="93">
        <f t="shared" si="19"/>
        <v>300.82000000000005</v>
      </c>
      <c r="D79" s="93">
        <f t="shared" si="19"/>
        <v>338.882</v>
      </c>
      <c r="E79" s="93">
        <f t="shared" si="18"/>
        <v>890.597</v>
      </c>
    </row>
    <row r="80" spans="1:5" ht="12.75">
      <c r="A80" s="91" t="s">
        <v>48</v>
      </c>
      <c r="B80" s="93">
        <f t="shared" si="19"/>
        <v>418.8962857142857</v>
      </c>
      <c r="C80" s="93">
        <f t="shared" si="19"/>
        <v>459.94357142857143</v>
      </c>
      <c r="D80" s="93">
        <f t="shared" si="19"/>
        <v>499.91542857142855</v>
      </c>
      <c r="E80" s="93">
        <f t="shared" si="18"/>
        <v>1378.7552857142857</v>
      </c>
    </row>
    <row r="84" spans="2:4" ht="14.25">
      <c r="B84" s="106">
        <v>1254.2</v>
      </c>
      <c r="C84" s="106">
        <v>5017</v>
      </c>
      <c r="D84" s="111">
        <v>6271.2</v>
      </c>
    </row>
    <row r="85" spans="1:4" ht="30">
      <c r="A85" s="118" t="s">
        <v>57</v>
      </c>
      <c r="B85" s="108">
        <v>1129.8</v>
      </c>
      <c r="C85" s="108">
        <v>2635.9</v>
      </c>
      <c r="D85" s="109">
        <v>3765.7</v>
      </c>
    </row>
    <row r="86" spans="1:4" ht="15">
      <c r="A86" s="119" t="s">
        <v>58</v>
      </c>
      <c r="B86" s="108">
        <v>3580</v>
      </c>
      <c r="C86" s="108"/>
      <c r="D86" s="109">
        <v>3580</v>
      </c>
    </row>
    <row r="87" spans="1:4" ht="15">
      <c r="A87" s="119" t="s">
        <v>59</v>
      </c>
      <c r="B87" s="108"/>
      <c r="C87" s="108"/>
      <c r="D87" s="109"/>
    </row>
    <row r="88" spans="1:4" ht="30">
      <c r="A88" s="119" t="s">
        <v>60</v>
      </c>
      <c r="B88" s="108"/>
      <c r="C88" s="108"/>
      <c r="D88" s="109"/>
    </row>
    <row r="89" spans="1:4" ht="15">
      <c r="A89" s="119" t="s">
        <v>61</v>
      </c>
      <c r="B89" s="110">
        <v>1918</v>
      </c>
      <c r="C89" s="108"/>
      <c r="D89" s="109">
        <v>1918</v>
      </c>
    </row>
    <row r="90" spans="2:4" ht="15.75" thickBot="1">
      <c r="B90" s="112"/>
      <c r="C90" s="113"/>
      <c r="D90" s="114"/>
    </row>
    <row r="91" ht="13.5" thickTop="1"/>
    <row r="92" spans="2:4" ht="15" thickBot="1">
      <c r="B92" s="115">
        <v>5495</v>
      </c>
      <c r="C92" s="104">
        <v>2921</v>
      </c>
      <c r="D92" s="107">
        <f>+C92+B92</f>
        <v>8416</v>
      </c>
    </row>
    <row r="93" spans="3:4" ht="15.75" thickTop="1">
      <c r="C93" s="116">
        <v>784</v>
      </c>
      <c r="D93" s="117">
        <v>784</v>
      </c>
    </row>
    <row r="94" spans="2:4" ht="12.75">
      <c r="B94" s="105">
        <f>SUM(B84:B92)</f>
        <v>13377</v>
      </c>
      <c r="C94" s="105">
        <f>SUM(C84:C92)</f>
        <v>10573.9</v>
      </c>
      <c r="D94" s="105">
        <f>+C94+B94</f>
        <v>23950.9</v>
      </c>
    </row>
    <row r="96" spans="2:4" ht="15.75" thickBot="1">
      <c r="B96" s="112">
        <v>15458.8</v>
      </c>
      <c r="C96" s="113">
        <v>8450.9</v>
      </c>
      <c r="D96" s="114">
        <v>23909.7</v>
      </c>
    </row>
    <row r="97" ht="13.5" thickTop="1"/>
    <row r="101" ht="14.25">
      <c r="A101" s="120" t="s">
        <v>62</v>
      </c>
    </row>
    <row r="102" ht="30.75" thickBot="1">
      <c r="A102" s="121" t="s">
        <v>63</v>
      </c>
    </row>
    <row r="103" spans="1:7" ht="15.75" thickTop="1">
      <c r="A103" s="196"/>
      <c r="B103" s="198" t="s">
        <v>64</v>
      </c>
      <c r="C103" s="199"/>
      <c r="D103" s="200"/>
      <c r="E103" s="198" t="s">
        <v>65</v>
      </c>
      <c r="F103" s="199"/>
      <c r="G103" s="200"/>
    </row>
    <row r="104" spans="1:7" ht="15.75" thickBot="1">
      <c r="A104" s="197"/>
      <c r="B104" s="122" t="s">
        <v>66</v>
      </c>
      <c r="C104" s="122" t="s">
        <v>43</v>
      </c>
      <c r="D104" s="103" t="s">
        <v>5</v>
      </c>
      <c r="E104" s="122" t="s">
        <v>66</v>
      </c>
      <c r="F104" s="122" t="s">
        <v>43</v>
      </c>
      <c r="G104" s="103" t="s">
        <v>5</v>
      </c>
    </row>
    <row r="105" spans="1:7" ht="13.5" thickTop="1">
      <c r="A105" t="s">
        <v>38</v>
      </c>
      <c r="C105">
        <v>798</v>
      </c>
      <c r="D105">
        <v>798</v>
      </c>
      <c r="F105">
        <v>798</v>
      </c>
      <c r="G105">
        <v>798</v>
      </c>
    </row>
    <row r="106" spans="1:7" ht="12.75">
      <c r="A106" t="s">
        <v>39</v>
      </c>
      <c r="B106">
        <v>773</v>
      </c>
      <c r="D106">
        <v>773</v>
      </c>
      <c r="E106">
        <v>6201</v>
      </c>
      <c r="G106">
        <f aca="true" t="shared" si="20" ref="G106:G114">SUM(E106:F106)</f>
        <v>6201</v>
      </c>
    </row>
    <row r="107" spans="1:7" ht="12.75">
      <c r="A107" s="123" t="s">
        <v>67</v>
      </c>
      <c r="B107">
        <v>251</v>
      </c>
      <c r="C107">
        <v>1006</v>
      </c>
      <c r="D107">
        <v>1257</v>
      </c>
      <c r="E107">
        <f>+B107</f>
        <v>251</v>
      </c>
      <c r="F107">
        <f>+C107</f>
        <v>1006</v>
      </c>
      <c r="G107">
        <f t="shared" si="20"/>
        <v>1257</v>
      </c>
    </row>
    <row r="108" spans="1:7" ht="12.75">
      <c r="A108" s="127" t="s">
        <v>74</v>
      </c>
      <c r="B108" s="127">
        <v>4418</v>
      </c>
      <c r="C108" s="127">
        <v>1006</v>
      </c>
      <c r="D108" s="127">
        <v>5424</v>
      </c>
      <c r="E108" s="127">
        <f>+E107+E106</f>
        <v>6452</v>
      </c>
      <c r="F108" s="127">
        <f>+F107+F106</f>
        <v>1006</v>
      </c>
      <c r="G108" s="127">
        <f t="shared" si="20"/>
        <v>7458</v>
      </c>
    </row>
    <row r="109" spans="1:7" ht="12.75">
      <c r="A109" t="s">
        <v>68</v>
      </c>
      <c r="B109">
        <v>1006</v>
      </c>
      <c r="C109">
        <v>4011</v>
      </c>
      <c r="D109">
        <v>5017</v>
      </c>
      <c r="E109">
        <v>1006</v>
      </c>
      <c r="F109">
        <v>4011</v>
      </c>
      <c r="G109">
        <f t="shared" si="20"/>
        <v>5017</v>
      </c>
    </row>
    <row r="110" spans="1:7" ht="12.75">
      <c r="A110" t="s">
        <v>69</v>
      </c>
      <c r="B110">
        <v>546</v>
      </c>
      <c r="C110">
        <v>1275</v>
      </c>
      <c r="D110">
        <v>1821</v>
      </c>
      <c r="E110">
        <v>546</v>
      </c>
      <c r="F110">
        <v>1275</v>
      </c>
      <c r="G110">
        <f t="shared" si="20"/>
        <v>1821</v>
      </c>
    </row>
    <row r="111" spans="1:7" ht="12.75">
      <c r="A111" t="s">
        <v>70</v>
      </c>
      <c r="B111">
        <v>291</v>
      </c>
      <c r="D111">
        <v>291</v>
      </c>
      <c r="E111">
        <v>291</v>
      </c>
      <c r="G111">
        <f t="shared" si="20"/>
        <v>291</v>
      </c>
    </row>
    <row r="112" spans="1:7" ht="12.75">
      <c r="A112" t="s">
        <v>71</v>
      </c>
      <c r="B112">
        <v>1202</v>
      </c>
      <c r="D112">
        <v>1202</v>
      </c>
      <c r="E112">
        <v>1202</v>
      </c>
      <c r="G112">
        <f t="shared" si="20"/>
        <v>1202</v>
      </c>
    </row>
    <row r="113" spans="1:7" ht="12.75">
      <c r="A113" t="s">
        <v>72</v>
      </c>
      <c r="E113">
        <v>890</v>
      </c>
      <c r="G113">
        <f t="shared" si="20"/>
        <v>890</v>
      </c>
    </row>
    <row r="114" spans="1:7" ht="12.75">
      <c r="A114" t="s">
        <v>73</v>
      </c>
      <c r="B114">
        <v>3580</v>
      </c>
      <c r="D114">
        <v>3580</v>
      </c>
      <c r="E114" s="124">
        <v>3775.631</v>
      </c>
      <c r="G114" s="124">
        <f t="shared" si="20"/>
        <v>3775.631</v>
      </c>
    </row>
    <row r="115" spans="1:7" ht="12.75">
      <c r="A115" s="125" t="s">
        <v>5</v>
      </c>
      <c r="B115" s="125">
        <v>11043</v>
      </c>
      <c r="C115" s="125">
        <v>7090</v>
      </c>
      <c r="D115" s="125">
        <v>18133</v>
      </c>
      <c r="E115" s="126">
        <f>+E108+E109+E110+E111+E112+E113+E114+E105</f>
        <v>14162.631</v>
      </c>
      <c r="F115" s="126">
        <f>+F108+F109+F110+F111+F112+F113+F114+F105</f>
        <v>7090</v>
      </c>
      <c r="G115" s="126">
        <f>+G108+G109+G110+G111+G112+G113+G114+G105</f>
        <v>21252.631</v>
      </c>
    </row>
    <row r="116" ht="12.75">
      <c r="A116">
        <f>82.5*42</f>
        <v>3465</v>
      </c>
    </row>
    <row r="117" ht="12.75">
      <c r="A117">
        <f>+A116/0.25*0.55</f>
        <v>7623.000000000001</v>
      </c>
    </row>
    <row r="118" ht="12.75">
      <c r="A118">
        <f>73*1.09</f>
        <v>79.57000000000001</v>
      </c>
    </row>
    <row r="119" ht="12.75">
      <c r="A119">
        <f>+A118*42</f>
        <v>3341.9400000000005</v>
      </c>
    </row>
    <row r="120" spans="1:4" ht="12.75">
      <c r="A120">
        <f>+A119/0.25*0.55</f>
        <v>7352.268000000002</v>
      </c>
      <c r="B120">
        <f>7458/42</f>
        <v>177.57142857142858</v>
      </c>
      <c r="D120">
        <f>82.5-B123</f>
        <v>1.7857142857142918</v>
      </c>
    </row>
    <row r="121" ht="12.75">
      <c r="B121">
        <f>+B120/0.55</f>
        <v>322.85714285714283</v>
      </c>
    </row>
    <row r="122" spans="2:5" ht="12.75">
      <c r="B122">
        <f>+D108/0.4*0.25</f>
        <v>3390</v>
      </c>
      <c r="D122">
        <f>82.5/1.105</f>
        <v>74.6606334841629</v>
      </c>
      <c r="E122">
        <f>82.5*42</f>
        <v>3465</v>
      </c>
    </row>
    <row r="123" spans="2:5" ht="12.75">
      <c r="B123">
        <f>+B122/42</f>
        <v>80.71428571428571</v>
      </c>
      <c r="E123">
        <f>+D124*42</f>
        <v>4158</v>
      </c>
    </row>
    <row r="124" spans="2:5" ht="12.75">
      <c r="B124">
        <f>+B123/1.105</f>
        <v>73.04460245636716</v>
      </c>
      <c r="D124">
        <f>82.5/0.25*0.3</f>
        <v>99</v>
      </c>
      <c r="E124">
        <f>+E123+E122</f>
        <v>7623</v>
      </c>
    </row>
    <row r="125" ht="12.75">
      <c r="E125">
        <f>63*1.105</f>
        <v>69.615</v>
      </c>
    </row>
    <row r="126" ht="12.75">
      <c r="E126">
        <f>+E125*42</f>
        <v>2923.83</v>
      </c>
    </row>
    <row r="127" ht="12.75">
      <c r="E127">
        <f>+E124-E126</f>
        <v>4699.17</v>
      </c>
    </row>
    <row r="128" ht="12.75">
      <c r="E128">
        <f>+E127-F107</f>
        <v>3693.17</v>
      </c>
    </row>
    <row r="145" ht="13.5" thickBot="1"/>
    <row r="146" spans="1:6" ht="26.25" thickTop="1">
      <c r="A146" s="56" t="s">
        <v>41</v>
      </c>
      <c r="B146" s="128" t="s">
        <v>82</v>
      </c>
      <c r="C146" s="67">
        <v>2004</v>
      </c>
      <c r="D146" s="67">
        <v>2005</v>
      </c>
      <c r="E146" s="67">
        <v>2006</v>
      </c>
      <c r="F146" s="129" t="s">
        <v>42</v>
      </c>
    </row>
    <row r="147" spans="1:6" ht="25.5">
      <c r="A147" s="130" t="s">
        <v>37</v>
      </c>
      <c r="B147" s="131" t="s">
        <v>83</v>
      </c>
      <c r="C147" s="29">
        <v>125.1</v>
      </c>
      <c r="D147" s="29">
        <v>239.4</v>
      </c>
      <c r="E147" s="29">
        <v>263.1</v>
      </c>
      <c r="F147" s="54">
        <f aca="true" t="shared" si="21" ref="F147:F154">SUM(C147:E147)</f>
        <v>627.6</v>
      </c>
    </row>
    <row r="148" spans="1:6" ht="25.5">
      <c r="A148" s="47" t="s">
        <v>38</v>
      </c>
      <c r="B148" s="131" t="s">
        <v>83</v>
      </c>
      <c r="C148" s="28">
        <v>16.9</v>
      </c>
      <c r="D148" s="28">
        <v>48.1</v>
      </c>
      <c r="E148" s="28">
        <v>49.2</v>
      </c>
      <c r="F148" s="54">
        <f t="shared" si="21"/>
        <v>114.2</v>
      </c>
    </row>
    <row r="149" spans="1:6" ht="25.5">
      <c r="A149" s="47" t="s">
        <v>39</v>
      </c>
      <c r="B149" s="131" t="s">
        <v>83</v>
      </c>
      <c r="C149" s="28">
        <v>0</v>
      </c>
      <c r="D149" s="28" t="e">
        <f>+#REF!</f>
        <v>#REF!</v>
      </c>
      <c r="E149" s="28" t="e">
        <f>+#REF!</f>
        <v>#REF!</v>
      </c>
      <c r="F149" s="54" t="e">
        <f t="shared" si="21"/>
        <v>#REF!</v>
      </c>
    </row>
    <row r="150" spans="1:6" ht="26.25" thickBot="1">
      <c r="A150" s="132" t="s">
        <v>40</v>
      </c>
      <c r="B150" s="133" t="s">
        <v>83</v>
      </c>
      <c r="C150" s="136" t="e">
        <f>+#REF!</f>
        <v>#REF!</v>
      </c>
      <c r="D150" s="136" t="e">
        <f>+#REF!</f>
        <v>#REF!</v>
      </c>
      <c r="E150" s="136" t="e">
        <f>+#REF!</f>
        <v>#REF!</v>
      </c>
      <c r="F150" s="54" t="e">
        <f t="shared" si="21"/>
        <v>#REF!</v>
      </c>
    </row>
    <row r="151" spans="1:6" ht="13.5" thickTop="1">
      <c r="A151" s="130" t="s">
        <v>37</v>
      </c>
      <c r="B151" s="131" t="s">
        <v>84</v>
      </c>
      <c r="C151" s="29" t="e">
        <f>+C152+C153+C154</f>
        <v>#REF!</v>
      </c>
      <c r="D151" s="29" t="e">
        <f>+D152+D153+D154</f>
        <v>#REF!</v>
      </c>
      <c r="E151" s="29" t="e">
        <f>+E152+E153+E154</f>
        <v>#REF!</v>
      </c>
      <c r="F151" s="54" t="e">
        <f t="shared" si="21"/>
        <v>#REF!</v>
      </c>
    </row>
    <row r="152" spans="1:6" ht="12.75">
      <c r="A152" s="47" t="s">
        <v>38</v>
      </c>
      <c r="B152" s="131" t="s">
        <v>85</v>
      </c>
      <c r="C152" s="28" t="e">
        <f>+C148*#REF!</f>
        <v>#REF!</v>
      </c>
      <c r="D152" s="28" t="e">
        <f>+D148*#REF!</f>
        <v>#REF!</v>
      </c>
      <c r="E152" s="28" t="e">
        <f>+E148*#REF!</f>
        <v>#REF!</v>
      </c>
      <c r="F152" s="54" t="e">
        <f t="shared" si="21"/>
        <v>#REF!</v>
      </c>
    </row>
    <row r="153" spans="1:6" ht="12.75">
      <c r="A153" s="47" t="s">
        <v>39</v>
      </c>
      <c r="B153" s="131" t="s">
        <v>85</v>
      </c>
      <c r="C153" s="28" t="e">
        <f>+C149*#REF!</f>
        <v>#REF!</v>
      </c>
      <c r="D153" s="28" t="e">
        <f>+D149*#REF!</f>
        <v>#REF!</v>
      </c>
      <c r="E153" s="28" t="e">
        <f>+E149*#REF!</f>
        <v>#REF!</v>
      </c>
      <c r="F153" s="54" t="e">
        <f t="shared" si="21"/>
        <v>#REF!</v>
      </c>
    </row>
    <row r="154" spans="1:6" ht="13.5" thickBot="1">
      <c r="A154" s="132" t="s">
        <v>40</v>
      </c>
      <c r="B154" s="133" t="s">
        <v>85</v>
      </c>
      <c r="C154" s="28" t="e">
        <f>+C150*#REF!</f>
        <v>#REF!</v>
      </c>
      <c r="D154" s="28" t="e">
        <f>+D150*#REF!</f>
        <v>#REF!</v>
      </c>
      <c r="E154" s="28" t="e">
        <f>+E150*#REF!</f>
        <v>#REF!</v>
      </c>
      <c r="F154" s="54" t="e">
        <f t="shared" si="21"/>
        <v>#REF!</v>
      </c>
    </row>
    <row r="155" spans="1:6" ht="26.25" thickTop="1">
      <c r="A155" s="130" t="s">
        <v>37</v>
      </c>
      <c r="B155" s="131" t="s">
        <v>86</v>
      </c>
      <c r="C155" s="29" t="e">
        <f>+C156+C157+C158</f>
        <v>#REF!</v>
      </c>
      <c r="D155" s="29" t="e">
        <f>+D156+D157+D158</f>
        <v>#REF!</v>
      </c>
      <c r="E155" s="29" t="e">
        <f>+E156+E157+E158</f>
        <v>#REF!</v>
      </c>
      <c r="F155" s="29" t="e">
        <f>+F156+F157+F158</f>
        <v>#REF!</v>
      </c>
    </row>
    <row r="156" spans="1:6" ht="25.5">
      <c r="A156" s="47" t="s">
        <v>38</v>
      </c>
      <c r="B156" s="131" t="s">
        <v>86</v>
      </c>
      <c r="C156" s="28">
        <f aca="true" t="shared" si="22" ref="C156:E158">+C148*44.098</f>
        <v>745.2561999999999</v>
      </c>
      <c r="D156" s="28">
        <f t="shared" si="22"/>
        <v>2121.1138</v>
      </c>
      <c r="E156" s="28">
        <f t="shared" si="22"/>
        <v>2169.6216</v>
      </c>
      <c r="F156" s="54">
        <f aca="true" t="shared" si="23" ref="F156:F162">SUM(C156:E156)</f>
        <v>5035.991599999999</v>
      </c>
    </row>
    <row r="157" spans="1:6" ht="25.5">
      <c r="A157" s="47" t="s">
        <v>39</v>
      </c>
      <c r="B157" s="131" t="s">
        <v>86</v>
      </c>
      <c r="C157" s="28">
        <f t="shared" si="22"/>
        <v>0</v>
      </c>
      <c r="D157" s="28" t="e">
        <f t="shared" si="22"/>
        <v>#REF!</v>
      </c>
      <c r="E157" s="28" t="e">
        <f t="shared" si="22"/>
        <v>#REF!</v>
      </c>
      <c r="F157" s="54" t="e">
        <f t="shared" si="23"/>
        <v>#REF!</v>
      </c>
    </row>
    <row r="158" spans="1:6" ht="26.25" thickBot="1">
      <c r="A158" s="132" t="s">
        <v>40</v>
      </c>
      <c r="B158" s="133" t="s">
        <v>86</v>
      </c>
      <c r="C158" s="28" t="e">
        <f t="shared" si="22"/>
        <v>#REF!</v>
      </c>
      <c r="D158" s="28" t="e">
        <f t="shared" si="22"/>
        <v>#REF!</v>
      </c>
      <c r="E158" s="28" t="e">
        <f t="shared" si="22"/>
        <v>#REF!</v>
      </c>
      <c r="F158" s="54" t="e">
        <f t="shared" si="23"/>
        <v>#REF!</v>
      </c>
    </row>
    <row r="159" spans="1:6" ht="13.5" thickTop="1">
      <c r="A159" s="130" t="s">
        <v>37</v>
      </c>
      <c r="B159" s="131" t="s">
        <v>87</v>
      </c>
      <c r="C159" s="29" t="e">
        <f>+C160+C161+C162</f>
        <v>#REF!</v>
      </c>
      <c r="D159" s="29" t="e">
        <f>+D160+D161+D162</f>
        <v>#REF!</v>
      </c>
      <c r="E159" s="29" t="e">
        <f>+E160+E161+E162</f>
        <v>#REF!</v>
      </c>
      <c r="F159" s="54" t="e">
        <f t="shared" si="23"/>
        <v>#REF!</v>
      </c>
    </row>
    <row r="160" spans="1:6" ht="12.75">
      <c r="A160" s="47" t="s">
        <v>38</v>
      </c>
      <c r="B160" s="131" t="s">
        <v>87</v>
      </c>
      <c r="C160" s="28" t="e">
        <f aca="true" t="shared" si="24" ref="C160:E162">+C152*42</f>
        <v>#REF!</v>
      </c>
      <c r="D160" s="28" t="e">
        <f t="shared" si="24"/>
        <v>#REF!</v>
      </c>
      <c r="E160" s="28" t="e">
        <f t="shared" si="24"/>
        <v>#REF!</v>
      </c>
      <c r="F160" s="54" t="e">
        <f t="shared" si="23"/>
        <v>#REF!</v>
      </c>
    </row>
    <row r="161" spans="1:6" ht="12.75">
      <c r="A161" s="47" t="s">
        <v>39</v>
      </c>
      <c r="B161" s="131" t="s">
        <v>87</v>
      </c>
      <c r="C161" s="28" t="e">
        <f t="shared" si="24"/>
        <v>#REF!</v>
      </c>
      <c r="D161" s="28" t="e">
        <f t="shared" si="24"/>
        <v>#REF!</v>
      </c>
      <c r="E161" s="28" t="e">
        <f t="shared" si="24"/>
        <v>#REF!</v>
      </c>
      <c r="F161" s="54" t="e">
        <f t="shared" si="23"/>
        <v>#REF!</v>
      </c>
    </row>
    <row r="162" spans="1:6" ht="13.5" thickBot="1">
      <c r="A162" s="134" t="s">
        <v>40</v>
      </c>
      <c r="B162" s="135" t="s">
        <v>87</v>
      </c>
      <c r="C162" s="28" t="e">
        <f t="shared" si="24"/>
        <v>#REF!</v>
      </c>
      <c r="D162" s="28" t="e">
        <f t="shared" si="24"/>
        <v>#REF!</v>
      </c>
      <c r="E162" s="28" t="e">
        <f t="shared" si="24"/>
        <v>#REF!</v>
      </c>
      <c r="F162" s="54" t="e">
        <f t="shared" si="23"/>
        <v>#REF!</v>
      </c>
    </row>
    <row r="163" spans="3:6" ht="13.5" thickTop="1">
      <c r="C163" s="40"/>
      <c r="D163" s="40"/>
      <c r="E163" s="40"/>
      <c r="F163" s="40"/>
    </row>
    <row r="164" spans="3:6" ht="12.75">
      <c r="C164" s="40"/>
      <c r="D164" s="40"/>
      <c r="E164" s="40"/>
      <c r="F164" s="40"/>
    </row>
    <row r="165" spans="3:6" ht="12.75">
      <c r="C165" s="40"/>
      <c r="D165" s="40"/>
      <c r="E165" s="40"/>
      <c r="F165" s="40"/>
    </row>
    <row r="166" spans="3:6" ht="12.75">
      <c r="C166" s="40"/>
      <c r="D166" s="40"/>
      <c r="E166" s="40"/>
      <c r="F166" s="40"/>
    </row>
    <row r="167" spans="3:6" ht="12.75">
      <c r="C167" s="40"/>
      <c r="D167" s="40"/>
      <c r="E167" s="40"/>
      <c r="F167" s="40"/>
    </row>
    <row r="168" spans="3:6" ht="12.75">
      <c r="C168" s="40"/>
      <c r="D168" s="40"/>
      <c r="E168" s="40"/>
      <c r="F168" s="40"/>
    </row>
    <row r="169" spans="3:6" ht="12.75">
      <c r="C169" s="40"/>
      <c r="D169" s="40"/>
      <c r="E169" s="40"/>
      <c r="F169" s="40"/>
    </row>
    <row r="170" spans="3:6" ht="12.75">
      <c r="C170" s="40"/>
      <c r="D170" s="40"/>
      <c r="E170" s="40"/>
      <c r="F170" s="40"/>
    </row>
  </sheetData>
  <mergeCells count="3">
    <mergeCell ref="A103:A104"/>
    <mergeCell ref="B103:D103"/>
    <mergeCell ref="E103:G10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6" sqref="D6"/>
    </sheetView>
  </sheetViews>
  <sheetFormatPr defaultColWidth="9.00390625" defaultRowHeight="12.75"/>
  <cols>
    <col min="5" max="5" width="11.375" style="0" bestFit="1" customWidth="1"/>
    <col min="7" max="7" width="10.375" style="0" bestFit="1" customWidth="1"/>
    <col min="8" max="8" width="11.375" style="0" bestFit="1" customWidth="1"/>
  </cols>
  <sheetData>
    <row r="1" spans="1:7" ht="128.25">
      <c r="A1" s="3"/>
      <c r="B1" s="4" t="s">
        <v>0</v>
      </c>
      <c r="C1" s="4" t="s">
        <v>1</v>
      </c>
      <c r="D1" s="4" t="s">
        <v>2</v>
      </c>
      <c r="G1" s="15" t="s">
        <v>5</v>
      </c>
    </row>
    <row r="2" spans="1:13" ht="15">
      <c r="A2" s="5">
        <v>2004</v>
      </c>
      <c r="B2" s="6">
        <v>0.1</v>
      </c>
      <c r="C2" s="6">
        <v>0.02</v>
      </c>
      <c r="D2" s="7"/>
      <c r="E2">
        <f>+B11*10</f>
        <v>237.51999999999998</v>
      </c>
      <c r="G2" s="19">
        <v>57.74</v>
      </c>
      <c r="H2">
        <f>+$G$6*B2</f>
        <v>23.752</v>
      </c>
      <c r="I2">
        <f>+$G$5*C2</f>
        <v>1.5834666666666666</v>
      </c>
      <c r="M2" s="19">
        <v>80.84</v>
      </c>
    </row>
    <row r="3" spans="1:13" ht="15">
      <c r="A3" s="5">
        <v>2005</v>
      </c>
      <c r="B3" s="6">
        <v>0.06</v>
      </c>
      <c r="C3" s="6">
        <v>0.4</v>
      </c>
      <c r="D3" s="7"/>
      <c r="G3" s="20">
        <v>79.31</v>
      </c>
      <c r="H3">
        <f>+$G$6*B3</f>
        <v>14.251199999999999</v>
      </c>
      <c r="I3">
        <f>+$G$5*C3</f>
        <v>31.669333333333334</v>
      </c>
      <c r="M3" s="20">
        <v>111.04</v>
      </c>
    </row>
    <row r="4" spans="1:13" ht="15">
      <c r="A4" s="5">
        <v>2006</v>
      </c>
      <c r="B4" s="7"/>
      <c r="C4" s="6">
        <v>0.63</v>
      </c>
      <c r="D4" s="7"/>
      <c r="G4" s="20">
        <v>100.47</v>
      </c>
      <c r="I4">
        <f>+$G$5*C4</f>
        <v>49.8792</v>
      </c>
      <c r="M4" s="20">
        <v>140.65</v>
      </c>
    </row>
    <row r="5" spans="1:13" ht="15">
      <c r="A5" s="5">
        <v>2007</v>
      </c>
      <c r="B5" s="7"/>
      <c r="C5" s="6">
        <v>0.63</v>
      </c>
      <c r="D5" s="7"/>
      <c r="G5" s="17">
        <f>SUM(G2:G4)/3</f>
        <v>79.17333333333333</v>
      </c>
      <c r="I5">
        <f>+$G$5*C5</f>
        <v>49.8792</v>
      </c>
      <c r="M5" s="16">
        <v>332.53</v>
      </c>
    </row>
    <row r="6" spans="1:9" ht="15">
      <c r="A6" s="5">
        <v>2008</v>
      </c>
      <c r="B6" s="7"/>
      <c r="C6" s="6">
        <v>0.69</v>
      </c>
      <c r="D6" s="7"/>
      <c r="G6">
        <f>+G5*3</f>
        <v>237.51999999999998</v>
      </c>
      <c r="I6">
        <f>+$G$5*C6</f>
        <v>54.629599999999996</v>
      </c>
    </row>
    <row r="7" spans="1:10" ht="15">
      <c r="A7" s="5">
        <v>2009</v>
      </c>
      <c r="B7" s="7"/>
      <c r="C7" s="7"/>
      <c r="D7" s="6">
        <v>0.15</v>
      </c>
      <c r="J7">
        <f>+$G$5*D7</f>
        <v>11.876</v>
      </c>
    </row>
    <row r="8" spans="1:9" ht="15.75">
      <c r="A8" s="1"/>
      <c r="I8">
        <f>SUM(I2:I7)</f>
        <v>187.6408</v>
      </c>
    </row>
    <row r="9" spans="1:9" ht="12.75">
      <c r="A9" s="190"/>
      <c r="B9" s="192" t="s">
        <v>3</v>
      </c>
      <c r="C9" s="192" t="s">
        <v>4</v>
      </c>
      <c r="D9" s="192" t="s">
        <v>2</v>
      </c>
      <c r="E9" s="192" t="s">
        <v>7</v>
      </c>
      <c r="I9">
        <f>+I8+J7+H2+H3</f>
        <v>237.52000000000004</v>
      </c>
    </row>
    <row r="10" spans="1:5" ht="12.75">
      <c r="A10" s="191"/>
      <c r="B10" s="193"/>
      <c r="C10" s="193"/>
      <c r="D10" s="193"/>
      <c r="E10" s="193"/>
    </row>
    <row r="11" spans="1:5" ht="12.75" customHeight="1">
      <c r="A11" s="9">
        <v>2004</v>
      </c>
      <c r="B11" s="21">
        <f>+H2</f>
        <v>23.752</v>
      </c>
      <c r="C11" s="21">
        <f>+I2</f>
        <v>1.5834666666666666</v>
      </c>
      <c r="E11" s="22">
        <f aca="true" t="shared" si="0" ref="E11:E17">SUM(B11:D11)</f>
        <v>25.335466666666665</v>
      </c>
    </row>
    <row r="12" spans="1:5" ht="12.75">
      <c r="A12" s="9">
        <v>2005</v>
      </c>
      <c r="B12" s="21">
        <f>+H3</f>
        <v>14.251199999999999</v>
      </c>
      <c r="C12" s="21">
        <f>+I3</f>
        <v>31.669333333333334</v>
      </c>
      <c r="E12" s="22">
        <f t="shared" si="0"/>
        <v>45.92053333333333</v>
      </c>
    </row>
    <row r="13" spans="1:5" ht="12.75">
      <c r="A13" s="9">
        <v>2006</v>
      </c>
      <c r="B13" s="21"/>
      <c r="C13" s="21">
        <f>+I4</f>
        <v>49.8792</v>
      </c>
      <c r="E13" s="22">
        <f t="shared" si="0"/>
        <v>49.8792</v>
      </c>
    </row>
    <row r="14" spans="1:5" ht="14.25">
      <c r="A14" s="5">
        <v>2007</v>
      </c>
      <c r="B14" s="21"/>
      <c r="C14" s="21">
        <f>+I5</f>
        <v>49.8792</v>
      </c>
      <c r="D14" s="22"/>
      <c r="E14" s="22">
        <f t="shared" si="0"/>
        <v>49.8792</v>
      </c>
    </row>
    <row r="15" spans="1:5" ht="14.25">
      <c r="A15" s="5">
        <v>2008</v>
      </c>
      <c r="B15" s="21"/>
      <c r="C15" s="21">
        <f>+I6</f>
        <v>54.629599999999996</v>
      </c>
      <c r="D15" s="22"/>
      <c r="E15" s="22">
        <f t="shared" si="0"/>
        <v>54.629599999999996</v>
      </c>
    </row>
    <row r="16" spans="1:5" ht="14.25">
      <c r="A16" s="5">
        <v>2009</v>
      </c>
      <c r="B16" s="21"/>
      <c r="C16" s="21"/>
      <c r="D16" s="22">
        <f>+J7</f>
        <v>11.876</v>
      </c>
      <c r="E16" s="22">
        <f t="shared" si="0"/>
        <v>11.876</v>
      </c>
    </row>
    <row r="17" spans="1:5" ht="12.75">
      <c r="A17" s="9" t="s">
        <v>5</v>
      </c>
      <c r="B17" s="22">
        <f>SUM(B11:B16)</f>
        <v>38.0032</v>
      </c>
      <c r="C17" s="22">
        <f>SUM(C11:C16)</f>
        <v>187.6408</v>
      </c>
      <c r="D17" s="22">
        <f>SUM(D11:D16)</f>
        <v>11.876</v>
      </c>
      <c r="E17" s="22">
        <f t="shared" si="0"/>
        <v>237.52</v>
      </c>
    </row>
    <row r="18" ht="12.75">
      <c r="A18" s="13"/>
    </row>
    <row r="19" ht="12.75">
      <c r="A19" s="14" t="s">
        <v>6</v>
      </c>
    </row>
    <row r="20" spans="1:5" ht="186.75" customHeight="1">
      <c r="A20" s="190"/>
      <c r="B20" s="192" t="s">
        <v>3</v>
      </c>
      <c r="C20" s="192" t="s">
        <v>4</v>
      </c>
      <c r="D20" s="192" t="s">
        <v>7</v>
      </c>
      <c r="E20" s="8"/>
    </row>
    <row r="21" spans="1:5" ht="12.75">
      <c r="A21" s="191"/>
      <c r="B21" s="193"/>
      <c r="C21" s="193"/>
      <c r="D21" s="193"/>
      <c r="E21" s="8"/>
    </row>
    <row r="22" spans="1:5" ht="12.75">
      <c r="A22" s="9">
        <v>2004</v>
      </c>
      <c r="B22" s="7">
        <v>118.76</v>
      </c>
      <c r="C22" s="7">
        <v>7.73</v>
      </c>
      <c r="D22" s="10">
        <v>126.49</v>
      </c>
      <c r="E22" s="8"/>
    </row>
    <row r="23" spans="1:5" ht="12.75">
      <c r="A23" s="9">
        <v>2005</v>
      </c>
      <c r="B23" s="7">
        <v>71.26</v>
      </c>
      <c r="C23" s="7">
        <v>157.99</v>
      </c>
      <c r="D23" s="10">
        <v>229.25</v>
      </c>
      <c r="E23" s="8"/>
    </row>
    <row r="24" spans="1:5" ht="12.75">
      <c r="A24" s="9">
        <v>2006</v>
      </c>
      <c r="B24" s="7"/>
      <c r="C24" s="7">
        <v>253.36</v>
      </c>
      <c r="D24" s="10">
        <v>253.36</v>
      </c>
      <c r="E24" s="8"/>
    </row>
    <row r="25" spans="1:5" ht="12.75">
      <c r="A25" s="9" t="s">
        <v>5</v>
      </c>
      <c r="B25" s="11">
        <v>170.72</v>
      </c>
      <c r="C25" s="11">
        <v>419.08</v>
      </c>
      <c r="D25" s="10">
        <v>609.1</v>
      </c>
      <c r="E25" s="8"/>
    </row>
  </sheetData>
  <mergeCells count="9">
    <mergeCell ref="A20:A21"/>
    <mergeCell ref="B20:B21"/>
    <mergeCell ref="C20:C21"/>
    <mergeCell ref="D20:D21"/>
    <mergeCell ref="E9:E10"/>
    <mergeCell ref="A9:A10"/>
    <mergeCell ref="B9:B10"/>
    <mergeCell ref="C9:C10"/>
    <mergeCell ref="D9:D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" sqref="A1:IV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53"/>
  <sheetViews>
    <sheetView tabSelected="1" workbookViewId="0" topLeftCell="A1">
      <selection activeCell="N44" sqref="N44"/>
    </sheetView>
  </sheetViews>
  <sheetFormatPr defaultColWidth="9.00390625" defaultRowHeight="12.75"/>
  <cols>
    <col min="1" max="1" width="28.875" style="0" customWidth="1"/>
    <col min="2" max="2" width="7.875" style="0" customWidth="1"/>
    <col min="3" max="3" width="8.25390625" style="0" customWidth="1"/>
    <col min="4" max="4" width="8.375" style="0" customWidth="1"/>
    <col min="5" max="5" width="8.25390625" style="0" customWidth="1"/>
    <col min="6" max="6" width="8.125" style="0" customWidth="1"/>
    <col min="7" max="7" width="8.375" style="0" customWidth="1"/>
    <col min="8" max="9" width="8.625" style="0" customWidth="1"/>
    <col min="11" max="11" width="8.625" style="0" customWidth="1"/>
    <col min="12" max="12" width="8.875" style="0" customWidth="1"/>
    <col min="13" max="14" width="8.625" style="0" customWidth="1"/>
  </cols>
  <sheetData>
    <row r="4" ht="23.25">
      <c r="A4" s="187" t="s">
        <v>91</v>
      </c>
    </row>
    <row r="5" ht="13.5" thickBot="1"/>
    <row r="6" spans="1:14" s="137" customFormat="1" ht="21.75" customHeight="1" thickTop="1">
      <c r="A6" s="139"/>
      <c r="B6" s="140"/>
      <c r="C6" s="201">
        <v>2004</v>
      </c>
      <c r="D6" s="202"/>
      <c r="E6" s="203"/>
      <c r="F6" s="201">
        <v>2005</v>
      </c>
      <c r="G6" s="202"/>
      <c r="H6" s="203"/>
      <c r="I6" s="201">
        <v>2006</v>
      </c>
      <c r="J6" s="202"/>
      <c r="K6" s="204"/>
      <c r="L6" s="201" t="s">
        <v>53</v>
      </c>
      <c r="M6" s="202"/>
      <c r="N6" s="204"/>
    </row>
    <row r="7" spans="1:14" s="137" customFormat="1" ht="21.75" customHeight="1" thickBot="1">
      <c r="A7" s="141"/>
      <c r="B7" s="142"/>
      <c r="C7" s="143" t="s">
        <v>43</v>
      </c>
      <c r="D7" s="144" t="s">
        <v>44</v>
      </c>
      <c r="E7" s="144" t="s">
        <v>5</v>
      </c>
      <c r="F7" s="143" t="s">
        <v>43</v>
      </c>
      <c r="G7" s="144" t="s">
        <v>44</v>
      </c>
      <c r="H7" s="144" t="s">
        <v>5</v>
      </c>
      <c r="I7" s="143" t="s">
        <v>43</v>
      </c>
      <c r="J7" s="144" t="s">
        <v>44</v>
      </c>
      <c r="K7" s="145" t="s">
        <v>5</v>
      </c>
      <c r="L7" s="143" t="s">
        <v>43</v>
      </c>
      <c r="M7" s="144" t="s">
        <v>44</v>
      </c>
      <c r="N7" s="145" t="s">
        <v>5</v>
      </c>
    </row>
    <row r="8" spans="1:14" s="137" customFormat="1" ht="21.75" customHeight="1">
      <c r="A8" s="146" t="s">
        <v>38</v>
      </c>
      <c r="B8" s="147" t="s">
        <v>77</v>
      </c>
      <c r="C8" s="148">
        <v>17.2</v>
      </c>
      <c r="D8" s="148"/>
      <c r="E8" s="148">
        <v>17.2</v>
      </c>
      <c r="F8" s="148">
        <v>48.1</v>
      </c>
      <c r="G8" s="149"/>
      <c r="H8" s="148">
        <v>48.1</v>
      </c>
      <c r="I8" s="148">
        <v>49.2</v>
      </c>
      <c r="J8" s="149"/>
      <c r="K8" s="150">
        <v>49.2</v>
      </c>
      <c r="L8" s="148">
        <v>114.2</v>
      </c>
      <c r="M8" s="149">
        <v>0</v>
      </c>
      <c r="N8" s="150">
        <v>114.2</v>
      </c>
    </row>
    <row r="9" spans="1:14" s="137" customFormat="1" ht="21.75" customHeight="1">
      <c r="A9" s="151" t="s">
        <v>39</v>
      </c>
      <c r="B9" s="152" t="s">
        <v>77</v>
      </c>
      <c r="C9" s="153"/>
      <c r="D9" s="153">
        <v>73.1</v>
      </c>
      <c r="E9" s="153">
        <v>73.1</v>
      </c>
      <c r="F9" s="153">
        <v>73.1</v>
      </c>
      <c r="G9" s="154">
        <v>15.1</v>
      </c>
      <c r="H9" s="153">
        <v>88.2</v>
      </c>
      <c r="I9" s="153">
        <v>88.2</v>
      </c>
      <c r="J9" s="154">
        <v>14.6</v>
      </c>
      <c r="K9" s="155">
        <v>102.8</v>
      </c>
      <c r="L9" s="153">
        <v>161.3</v>
      </c>
      <c r="M9" s="154">
        <v>102.8</v>
      </c>
      <c r="N9" s="155">
        <v>264.1</v>
      </c>
    </row>
    <row r="10" spans="1:14" s="137" customFormat="1" ht="21.75" customHeight="1">
      <c r="A10" s="151" t="s">
        <v>45</v>
      </c>
      <c r="B10" s="152" t="s">
        <v>77</v>
      </c>
      <c r="C10" s="153"/>
      <c r="D10" s="153">
        <v>46.02</v>
      </c>
      <c r="E10" s="153">
        <v>46.02</v>
      </c>
      <c r="F10" s="153"/>
      <c r="G10" s="153">
        <v>88.2</v>
      </c>
      <c r="H10" s="153">
        <v>88.2</v>
      </c>
      <c r="I10" s="153"/>
      <c r="J10" s="153">
        <v>88.2</v>
      </c>
      <c r="K10" s="155">
        <v>88.2</v>
      </c>
      <c r="L10" s="153">
        <v>0</v>
      </c>
      <c r="M10" s="153">
        <f>J10+G10+D10</f>
        <v>222.42000000000002</v>
      </c>
      <c r="N10" s="155">
        <f>K10+H10+E10</f>
        <v>222.42000000000002</v>
      </c>
    </row>
    <row r="11" spans="1:14" s="137" customFormat="1" ht="21.75" customHeight="1">
      <c r="A11" s="151" t="s">
        <v>75</v>
      </c>
      <c r="B11" s="152" t="s">
        <v>77</v>
      </c>
      <c r="C11" s="156">
        <v>21.64</v>
      </c>
      <c r="D11" s="156">
        <v>5.44</v>
      </c>
      <c r="E11" s="156">
        <v>27.08</v>
      </c>
      <c r="F11" s="153"/>
      <c r="G11" s="153"/>
      <c r="H11" s="153"/>
      <c r="I11" s="153"/>
      <c r="J11" s="153"/>
      <c r="K11" s="155"/>
      <c r="L11" s="178">
        <v>21.64</v>
      </c>
      <c r="M11" s="156">
        <v>5.44</v>
      </c>
      <c r="N11" s="157">
        <v>27.08</v>
      </c>
    </row>
    <row r="12" spans="1:14" s="137" customFormat="1" ht="21.75" customHeight="1">
      <c r="A12" s="158" t="s">
        <v>39</v>
      </c>
      <c r="B12" s="159" t="s">
        <v>77</v>
      </c>
      <c r="C12" s="160">
        <v>21.64</v>
      </c>
      <c r="D12" s="160">
        <v>124.56</v>
      </c>
      <c r="E12" s="160">
        <v>146.2</v>
      </c>
      <c r="F12" s="160">
        <v>73.1</v>
      </c>
      <c r="G12" s="160">
        <v>103.3</v>
      </c>
      <c r="H12" s="160">
        <v>176.4</v>
      </c>
      <c r="I12" s="160">
        <v>88.2</v>
      </c>
      <c r="J12" s="160">
        <v>102.8</v>
      </c>
      <c r="K12" s="161">
        <v>191</v>
      </c>
      <c r="L12" s="160">
        <v>182.94</v>
      </c>
      <c r="M12" s="160">
        <f>J12+G12+D12</f>
        <v>330.65999999999997</v>
      </c>
      <c r="N12" s="161">
        <f>K12+H12+E12</f>
        <v>513.5999999999999</v>
      </c>
    </row>
    <row r="13" spans="1:14" s="137" customFormat="1" ht="21.75" customHeight="1">
      <c r="A13" s="151" t="s">
        <v>92</v>
      </c>
      <c r="B13" s="152" t="s">
        <v>77</v>
      </c>
      <c r="C13" s="153"/>
      <c r="D13" s="153">
        <v>19.193555673514563</v>
      </c>
      <c r="E13" s="153">
        <v>19.193555673514563</v>
      </c>
      <c r="F13" s="153"/>
      <c r="G13" s="153"/>
      <c r="H13" s="153"/>
      <c r="I13" s="153"/>
      <c r="J13" s="153"/>
      <c r="K13" s="155"/>
      <c r="L13" s="153">
        <v>0</v>
      </c>
      <c r="M13" s="153">
        <v>19.193555673514563</v>
      </c>
      <c r="N13" s="155">
        <v>19.193555673514563</v>
      </c>
    </row>
    <row r="14" spans="1:14" s="137" customFormat="1" ht="21.75" customHeight="1">
      <c r="A14" s="162" t="s">
        <v>76</v>
      </c>
      <c r="B14" s="152" t="s">
        <v>77</v>
      </c>
      <c r="C14" s="163">
        <v>21.64</v>
      </c>
      <c r="D14" s="163">
        <v>143.75355567351454</v>
      </c>
      <c r="E14" s="163">
        <v>165.39355567351453</v>
      </c>
      <c r="F14" s="163">
        <v>73.1</v>
      </c>
      <c r="G14" s="163">
        <v>103.3</v>
      </c>
      <c r="H14" s="163">
        <v>176.4</v>
      </c>
      <c r="I14" s="163">
        <v>88.2</v>
      </c>
      <c r="J14" s="163">
        <v>102.8</v>
      </c>
      <c r="K14" s="164">
        <v>191</v>
      </c>
      <c r="L14" s="163">
        <v>182.94</v>
      </c>
      <c r="M14" s="163">
        <f>J14+G14+D14</f>
        <v>349.8535556735145</v>
      </c>
      <c r="N14" s="164">
        <f>K14+H14+E14</f>
        <v>532.7935556735144</v>
      </c>
    </row>
    <row r="15" spans="1:14" s="137" customFormat="1" ht="21.75" customHeight="1">
      <c r="A15" s="165" t="s">
        <v>40</v>
      </c>
      <c r="B15" s="152" t="s">
        <v>77</v>
      </c>
      <c r="C15" s="166">
        <v>86.56</v>
      </c>
      <c r="D15" s="166">
        <v>26.081000000000003</v>
      </c>
      <c r="E15" s="166">
        <v>112.641</v>
      </c>
      <c r="F15" s="166">
        <v>118.3</v>
      </c>
      <c r="G15" s="166">
        <v>34.53</v>
      </c>
      <c r="H15" s="166">
        <v>152.83</v>
      </c>
      <c r="I15" s="166">
        <v>125.8</v>
      </c>
      <c r="J15" s="166">
        <v>36.954</v>
      </c>
      <c r="K15" s="164">
        <v>162.754</v>
      </c>
      <c r="L15" s="166">
        <v>330.66</v>
      </c>
      <c r="M15" s="166">
        <v>97.565</v>
      </c>
      <c r="N15" s="164">
        <v>428.225</v>
      </c>
    </row>
    <row r="16" spans="1:14" s="137" customFormat="1" ht="21.75" customHeight="1" thickBot="1">
      <c r="A16" s="167" t="s">
        <v>81</v>
      </c>
      <c r="B16" s="168" t="s">
        <v>77</v>
      </c>
      <c r="C16" s="169">
        <v>125.4</v>
      </c>
      <c r="D16" s="169">
        <v>169.83455567351456</v>
      </c>
      <c r="E16" s="169">
        <v>295.23455567351454</v>
      </c>
      <c r="F16" s="169">
        <v>239.5</v>
      </c>
      <c r="G16" s="169">
        <v>137.83</v>
      </c>
      <c r="H16" s="169">
        <v>377.33</v>
      </c>
      <c r="I16" s="169">
        <v>263.2</v>
      </c>
      <c r="J16" s="169">
        <v>139.754</v>
      </c>
      <c r="K16" s="170">
        <v>402.954</v>
      </c>
      <c r="L16" s="169">
        <f>I16+F16+C16</f>
        <v>628.1</v>
      </c>
      <c r="M16" s="169">
        <f>J16+G16+D16</f>
        <v>447.41855567351456</v>
      </c>
      <c r="N16" s="170">
        <f>K16+H16+E16</f>
        <v>1075.5185556735146</v>
      </c>
    </row>
    <row r="17" spans="1:14" s="137" customFormat="1" ht="21.75" customHeight="1">
      <c r="A17" s="171" t="s">
        <v>38</v>
      </c>
      <c r="B17" s="147" t="s">
        <v>78</v>
      </c>
      <c r="C17" s="172">
        <v>18.989508597364058</v>
      </c>
      <c r="D17" s="172"/>
      <c r="E17" s="172">
        <v>18.989508597364058</v>
      </c>
      <c r="F17" s="172">
        <v>54.266363188976385</v>
      </c>
      <c r="G17" s="172">
        <v>0</v>
      </c>
      <c r="H17" s="172">
        <v>54.266363188976385</v>
      </c>
      <c r="I17" s="172">
        <v>56.516648531011974</v>
      </c>
      <c r="J17" s="172"/>
      <c r="K17" s="173">
        <v>56.516648531011974</v>
      </c>
      <c r="L17" s="172">
        <v>129.44130795809608</v>
      </c>
      <c r="M17" s="172">
        <v>0</v>
      </c>
      <c r="N17" s="173">
        <v>129.44130795809608</v>
      </c>
    </row>
    <row r="18" spans="1:14" s="137" customFormat="1" ht="21.75" customHeight="1">
      <c r="A18" s="151" t="s">
        <v>39</v>
      </c>
      <c r="B18" s="152" t="s">
        <v>78</v>
      </c>
      <c r="C18" s="153"/>
      <c r="D18" s="153">
        <v>80.70541153879724</v>
      </c>
      <c r="E18" s="153">
        <v>80.70541153879724</v>
      </c>
      <c r="F18" s="153">
        <v>82.47133366141733</v>
      </c>
      <c r="G18" s="153">
        <v>17.035802165354344</v>
      </c>
      <c r="H18" s="153">
        <v>99.50713582677167</v>
      </c>
      <c r="I18" s="153">
        <v>101.3164309031556</v>
      </c>
      <c r="J18" s="153">
        <v>16.771200580340945</v>
      </c>
      <c r="K18" s="155">
        <v>118.08763148349655</v>
      </c>
      <c r="L18" s="153">
        <v>183.78776456457294</v>
      </c>
      <c r="M18" s="153">
        <v>114.51241428449252</v>
      </c>
      <c r="N18" s="155">
        <v>298.30017884906545</v>
      </c>
    </row>
    <row r="19" spans="1:14" s="137" customFormat="1" ht="21.75" customHeight="1">
      <c r="A19" s="151" t="s">
        <v>45</v>
      </c>
      <c r="B19" s="152" t="s">
        <v>78</v>
      </c>
      <c r="C19" s="153"/>
      <c r="D19" s="153">
        <v>50.80797590992406</v>
      </c>
      <c r="E19" s="153">
        <v>50.80797590992406</v>
      </c>
      <c r="F19" s="153"/>
      <c r="G19" s="153">
        <v>99.50713582677167</v>
      </c>
      <c r="H19" s="153">
        <v>99.50713582677167</v>
      </c>
      <c r="I19" s="153"/>
      <c r="J19" s="153">
        <v>101.3164309031556</v>
      </c>
      <c r="K19" s="155">
        <v>101.3164309031556</v>
      </c>
      <c r="L19" s="153">
        <v>0</v>
      </c>
      <c r="M19" s="153">
        <f>J19+G19+D19</f>
        <v>251.63154263985135</v>
      </c>
      <c r="N19" s="155">
        <f>K19+H19+E19</f>
        <v>251.63154263985135</v>
      </c>
    </row>
    <row r="20" spans="1:14" s="137" customFormat="1" ht="21.75" customHeight="1">
      <c r="A20" s="151" t="s">
        <v>75</v>
      </c>
      <c r="B20" s="152" t="s">
        <v>78</v>
      </c>
      <c r="C20" s="153">
        <v>23.891451514358035</v>
      </c>
      <c r="D20" s="153">
        <v>6.005984114515141</v>
      </c>
      <c r="E20" s="153">
        <v>29.897435628873176</v>
      </c>
      <c r="F20" s="153"/>
      <c r="G20" s="153"/>
      <c r="H20" s="153"/>
      <c r="I20" s="153"/>
      <c r="J20" s="153"/>
      <c r="K20" s="155"/>
      <c r="L20" s="153">
        <v>23.891451514358035</v>
      </c>
      <c r="M20" s="153">
        <v>6.005984114515141</v>
      </c>
      <c r="N20" s="155">
        <v>29.897435628873176</v>
      </c>
    </row>
    <row r="21" spans="1:14" s="137" customFormat="1" ht="21.75" customHeight="1">
      <c r="A21" s="158" t="s">
        <v>39</v>
      </c>
      <c r="B21" s="159" t="s">
        <v>78</v>
      </c>
      <c r="C21" s="160">
        <v>23.891451514358035</v>
      </c>
      <c r="D21" s="160">
        <v>137.51937156323643</v>
      </c>
      <c r="E21" s="160">
        <v>161.41082307759447</v>
      </c>
      <c r="F21" s="160">
        <v>82.47133366141733</v>
      </c>
      <c r="G21" s="160">
        <v>116.54293799212601</v>
      </c>
      <c r="H21" s="160">
        <v>199.01427165354335</v>
      </c>
      <c r="I21" s="160">
        <v>101.3164309031556</v>
      </c>
      <c r="J21" s="160">
        <v>118.08763148349655</v>
      </c>
      <c r="K21" s="161">
        <v>219.40406238665216</v>
      </c>
      <c r="L21" s="160">
        <v>207.67921607893098</v>
      </c>
      <c r="M21" s="160">
        <f>J21+G21+D21</f>
        <v>372.14994103885897</v>
      </c>
      <c r="N21" s="161">
        <f>K21+H21+E21</f>
        <v>579.82915711779</v>
      </c>
    </row>
    <row r="22" spans="1:14" s="137" customFormat="1" ht="21.75" customHeight="1">
      <c r="A22" s="151" t="s">
        <v>93</v>
      </c>
      <c r="B22" s="152" t="s">
        <v>78</v>
      </c>
      <c r="C22" s="153"/>
      <c r="D22" s="153">
        <v>21.19047619047619</v>
      </c>
      <c r="E22" s="153">
        <v>21.19047619047619</v>
      </c>
      <c r="F22" s="153"/>
      <c r="G22" s="153"/>
      <c r="H22" s="153"/>
      <c r="I22" s="153"/>
      <c r="J22" s="153"/>
      <c r="K22" s="155"/>
      <c r="L22" s="153">
        <v>0</v>
      </c>
      <c r="M22" s="153">
        <v>21.19047619047619</v>
      </c>
      <c r="N22" s="155">
        <v>21.19047619047619</v>
      </c>
    </row>
    <row r="23" spans="1:14" s="137" customFormat="1" ht="21.75" customHeight="1">
      <c r="A23" s="162" t="s">
        <v>76</v>
      </c>
      <c r="B23" s="152" t="s">
        <v>78</v>
      </c>
      <c r="C23" s="163">
        <v>23.891451514358035</v>
      </c>
      <c r="D23" s="163">
        <v>158.70984775371264</v>
      </c>
      <c r="E23" s="163">
        <v>182.60129926807068</v>
      </c>
      <c r="F23" s="163">
        <v>82.47133366141733</v>
      </c>
      <c r="G23" s="163">
        <v>116.54293799212601</v>
      </c>
      <c r="H23" s="163">
        <v>199.01427165354335</v>
      </c>
      <c r="I23" s="163">
        <v>101.3164309031556</v>
      </c>
      <c r="J23" s="163">
        <v>118.08763148349655</v>
      </c>
      <c r="K23" s="164">
        <v>219.40406238665216</v>
      </c>
      <c r="L23" s="163">
        <v>207.67921607893098</v>
      </c>
      <c r="M23" s="163">
        <f>J23+G23+D23</f>
        <v>393.34041722933523</v>
      </c>
      <c r="N23" s="164">
        <f>K23+H23+E23</f>
        <v>601.0196333082662</v>
      </c>
    </row>
    <row r="24" spans="1:14" s="137" customFormat="1" ht="21.75" customHeight="1">
      <c r="A24" s="165" t="s">
        <v>40</v>
      </c>
      <c r="B24" s="152" t="s">
        <v>78</v>
      </c>
      <c r="C24" s="153">
        <v>95.56580605743214</v>
      </c>
      <c r="D24" s="153">
        <v>28.794498472549538</v>
      </c>
      <c r="E24" s="153">
        <v>124.36030452998168</v>
      </c>
      <c r="F24" s="153">
        <v>133.46592027559058</v>
      </c>
      <c r="G24" s="153">
        <v>38.95670521653544</v>
      </c>
      <c r="H24" s="153">
        <v>172.42262549212603</v>
      </c>
      <c r="I24" s="153">
        <v>144.50801595937614</v>
      </c>
      <c r="J24" s="153">
        <v>42.44951686615887</v>
      </c>
      <c r="K24" s="155">
        <v>186.957532825535</v>
      </c>
      <c r="L24" s="153">
        <v>373.53974229239884</v>
      </c>
      <c r="M24" s="153">
        <v>110.20072055524385</v>
      </c>
      <c r="N24" s="155">
        <v>483.7404628476427</v>
      </c>
    </row>
    <row r="25" spans="1:14" s="137" customFormat="1" ht="21.75" customHeight="1" thickBot="1">
      <c r="A25" s="167" t="s">
        <v>81</v>
      </c>
      <c r="B25" s="168" t="s">
        <v>78</v>
      </c>
      <c r="C25" s="169">
        <v>138.44676616915424</v>
      </c>
      <c r="D25" s="169">
        <v>187.5043462262622</v>
      </c>
      <c r="E25" s="169">
        <v>325.95111239541643</v>
      </c>
      <c r="F25" s="169">
        <v>270.2036171259843</v>
      </c>
      <c r="G25" s="169">
        <v>155.49964320866144</v>
      </c>
      <c r="H25" s="169">
        <v>425.70326033464573</v>
      </c>
      <c r="I25" s="169">
        <v>302.3410953935437</v>
      </c>
      <c r="J25" s="169">
        <v>160.5371483496554</v>
      </c>
      <c r="K25" s="161">
        <v>462.8782437431991</v>
      </c>
      <c r="L25" s="169">
        <f>I25+F25+C25</f>
        <v>710.9914786886823</v>
      </c>
      <c r="M25" s="169">
        <f>J25+G25+D25</f>
        <v>503.54113778457906</v>
      </c>
      <c r="N25" s="161">
        <f>K25+H25+E25</f>
        <v>1214.5326164732612</v>
      </c>
    </row>
    <row r="26" spans="1:14" s="137" customFormat="1" ht="21.75" customHeight="1">
      <c r="A26" s="151" t="s">
        <v>38</v>
      </c>
      <c r="B26" s="147" t="s">
        <v>79</v>
      </c>
      <c r="C26" s="153">
        <v>758.4856</v>
      </c>
      <c r="D26" s="153"/>
      <c r="E26" s="153">
        <v>758.4856</v>
      </c>
      <c r="F26" s="153">
        <v>2121.1138</v>
      </c>
      <c r="G26" s="153">
        <v>0</v>
      </c>
      <c r="H26" s="153">
        <v>2121.1138</v>
      </c>
      <c r="I26" s="153">
        <v>2169.6216</v>
      </c>
      <c r="J26" s="153"/>
      <c r="K26" s="155">
        <v>2169.6216</v>
      </c>
      <c r="L26" s="153">
        <f>I26+F26+C26</f>
        <v>5049.221</v>
      </c>
      <c r="M26" s="153">
        <v>0</v>
      </c>
      <c r="N26" s="155">
        <f>K26+H26+E26</f>
        <v>5049.221</v>
      </c>
    </row>
    <row r="27" spans="1:14" s="137" customFormat="1" ht="21.75" customHeight="1">
      <c r="A27" s="151" t="s">
        <v>39</v>
      </c>
      <c r="B27" s="152" t="s">
        <v>79</v>
      </c>
      <c r="C27" s="153"/>
      <c r="D27" s="153">
        <v>3223.5638</v>
      </c>
      <c r="E27" s="153">
        <v>3223.5638</v>
      </c>
      <c r="F27" s="153">
        <v>3223.5638</v>
      </c>
      <c r="G27" s="153">
        <v>665.8798000000004</v>
      </c>
      <c r="H27" s="153">
        <v>3889.4436000000005</v>
      </c>
      <c r="I27" s="153">
        <v>3889.4436</v>
      </c>
      <c r="J27" s="153">
        <v>643.8307999999997</v>
      </c>
      <c r="K27" s="155">
        <v>4533.2744</v>
      </c>
      <c r="L27" s="153">
        <v>7113.0074</v>
      </c>
      <c r="M27" s="153">
        <v>4533.2744</v>
      </c>
      <c r="N27" s="155">
        <v>11646.2818</v>
      </c>
    </row>
    <row r="28" spans="1:14" s="137" customFormat="1" ht="21.75" customHeight="1">
      <c r="A28" s="151" t="s">
        <v>45</v>
      </c>
      <c r="B28" s="152" t="s">
        <v>79</v>
      </c>
      <c r="C28" s="153"/>
      <c r="D28" s="153">
        <v>2029.3899599999997</v>
      </c>
      <c r="E28" s="153">
        <v>2029.3899599999997</v>
      </c>
      <c r="F28" s="153"/>
      <c r="G28" s="153">
        <v>3889.4436</v>
      </c>
      <c r="H28" s="153">
        <v>3889.4436</v>
      </c>
      <c r="I28" s="153"/>
      <c r="J28" s="153">
        <v>3889.4436</v>
      </c>
      <c r="K28" s="155">
        <v>3889.4436</v>
      </c>
      <c r="L28" s="153">
        <v>0</v>
      </c>
      <c r="M28" s="153">
        <f>J28+G28+D28</f>
        <v>9808.27716</v>
      </c>
      <c r="N28" s="155">
        <f>K28+H28+E28</f>
        <v>9808.27716</v>
      </c>
    </row>
    <row r="29" spans="1:14" s="137" customFormat="1" ht="21.75" customHeight="1">
      <c r="A29" s="151" t="s">
        <v>75</v>
      </c>
      <c r="B29" s="152" t="s">
        <v>79</v>
      </c>
      <c r="C29" s="153">
        <v>954.28072</v>
      </c>
      <c r="D29" s="153">
        <v>239.8931199999999</v>
      </c>
      <c r="E29" s="153">
        <v>1194.17384</v>
      </c>
      <c r="F29" s="153"/>
      <c r="G29" s="153"/>
      <c r="H29" s="153"/>
      <c r="I29" s="153"/>
      <c r="J29" s="153"/>
      <c r="K29" s="155"/>
      <c r="L29" s="153">
        <v>954.28072</v>
      </c>
      <c r="M29" s="153">
        <v>239.8931199999999</v>
      </c>
      <c r="N29" s="155">
        <v>1194.17384</v>
      </c>
    </row>
    <row r="30" spans="1:14" s="137" customFormat="1" ht="21.75" customHeight="1">
      <c r="A30" s="158" t="s">
        <v>39</v>
      </c>
      <c r="B30" s="159" t="s">
        <v>79</v>
      </c>
      <c r="C30" s="160">
        <v>954.28072</v>
      </c>
      <c r="D30" s="160">
        <v>5492.846879999999</v>
      </c>
      <c r="E30" s="160">
        <v>6447.1276</v>
      </c>
      <c r="F30" s="160">
        <v>3223.5638</v>
      </c>
      <c r="G30" s="160">
        <v>4555.3234</v>
      </c>
      <c r="H30" s="160">
        <v>7778.887200000001</v>
      </c>
      <c r="I30" s="160">
        <v>3889.4436</v>
      </c>
      <c r="J30" s="160">
        <v>4533.2744</v>
      </c>
      <c r="K30" s="161">
        <v>8422.718</v>
      </c>
      <c r="L30" s="160">
        <v>8067.28812</v>
      </c>
      <c r="M30" s="160">
        <f>J30+G30+D30</f>
        <v>14581.444679999999</v>
      </c>
      <c r="N30" s="161">
        <f>K30+H30+E30</f>
        <v>22648.7328</v>
      </c>
    </row>
    <row r="31" spans="1:14" s="137" customFormat="1" ht="21.75" customHeight="1">
      <c r="A31" s="151" t="s">
        <v>92</v>
      </c>
      <c r="B31" s="152" t="s">
        <v>79</v>
      </c>
      <c r="C31" s="153"/>
      <c r="D31" s="153">
        <v>846.3974180906451</v>
      </c>
      <c r="E31" s="153">
        <v>846.3974180906451</v>
      </c>
      <c r="F31" s="153"/>
      <c r="G31" s="153"/>
      <c r="H31" s="153"/>
      <c r="I31" s="153"/>
      <c r="J31" s="153"/>
      <c r="K31" s="155"/>
      <c r="L31" s="153">
        <v>0</v>
      </c>
      <c r="M31" s="153">
        <v>846.3974180906451</v>
      </c>
      <c r="N31" s="155">
        <v>846.3974180906451</v>
      </c>
    </row>
    <row r="32" spans="1:14" s="137" customFormat="1" ht="21.75" customHeight="1">
      <c r="A32" s="162" t="s">
        <v>76</v>
      </c>
      <c r="B32" s="152" t="s">
        <v>79</v>
      </c>
      <c r="C32" s="163">
        <v>954.28072</v>
      </c>
      <c r="D32" s="163">
        <v>6339.244298090644</v>
      </c>
      <c r="E32" s="163">
        <v>7293.525018090644</v>
      </c>
      <c r="F32" s="163">
        <v>3223.5638</v>
      </c>
      <c r="G32" s="163">
        <v>4555.3234</v>
      </c>
      <c r="H32" s="163">
        <v>7778.887200000001</v>
      </c>
      <c r="I32" s="163">
        <v>3889.4436</v>
      </c>
      <c r="J32" s="163">
        <v>4533.2744</v>
      </c>
      <c r="K32" s="164">
        <v>8422.718</v>
      </c>
      <c r="L32" s="163">
        <v>8067.28812</v>
      </c>
      <c r="M32" s="163">
        <f>J32+G32+D32</f>
        <v>15427.842098090645</v>
      </c>
      <c r="N32" s="164">
        <f>K32+H32+E32</f>
        <v>23495.130218090646</v>
      </c>
    </row>
    <row r="33" spans="1:14" s="137" customFormat="1" ht="21.75" customHeight="1">
      <c r="A33" s="165" t="s">
        <v>40</v>
      </c>
      <c r="B33" s="152" t="s">
        <v>79</v>
      </c>
      <c r="C33" s="153">
        <v>3817.12288</v>
      </c>
      <c r="D33" s="153">
        <v>1150.119938</v>
      </c>
      <c r="E33" s="153">
        <v>4967.242818</v>
      </c>
      <c r="F33" s="153">
        <v>5216.7934</v>
      </c>
      <c r="G33" s="153">
        <v>1522.70394</v>
      </c>
      <c r="H33" s="153">
        <v>6739.49734</v>
      </c>
      <c r="I33" s="153">
        <v>5547.5284</v>
      </c>
      <c r="J33" s="153">
        <v>1629.597492</v>
      </c>
      <c r="K33" s="155">
        <v>7177.125892</v>
      </c>
      <c r="L33" s="153">
        <v>14581.44468</v>
      </c>
      <c r="M33" s="153">
        <v>4302.42137</v>
      </c>
      <c r="N33" s="155">
        <v>18883.86605</v>
      </c>
    </row>
    <row r="34" spans="1:14" s="137" customFormat="1" ht="21.75" customHeight="1" thickBot="1">
      <c r="A34" s="167" t="s">
        <v>81</v>
      </c>
      <c r="B34" s="168" t="s">
        <v>79</v>
      </c>
      <c r="C34" s="169">
        <v>5529.8892</v>
      </c>
      <c r="D34" s="169">
        <v>7489.364236090644</v>
      </c>
      <c r="E34" s="169">
        <v>13019.253436090643</v>
      </c>
      <c r="F34" s="169">
        <v>10561.470999999998</v>
      </c>
      <c r="G34" s="169">
        <v>6078.027340000001</v>
      </c>
      <c r="H34" s="169">
        <v>16639.498340000002</v>
      </c>
      <c r="I34" s="169">
        <v>11606.5936</v>
      </c>
      <c r="J34" s="169">
        <v>6162.871892</v>
      </c>
      <c r="K34" s="170">
        <v>17769.465492</v>
      </c>
      <c r="L34" s="169">
        <f>I34+F34+C34</f>
        <v>27697.953799999996</v>
      </c>
      <c r="M34" s="169">
        <f>J34+G34+D34</f>
        <v>19730.263468090645</v>
      </c>
      <c r="N34" s="170">
        <f>K34+H34+E34</f>
        <v>47428.217268090644</v>
      </c>
    </row>
    <row r="35" spans="1:14" s="137" customFormat="1" ht="21.75" customHeight="1">
      <c r="A35" s="151" t="s">
        <v>38</v>
      </c>
      <c r="B35" s="147" t="s">
        <v>80</v>
      </c>
      <c r="C35" s="153">
        <v>797.5593610892904</v>
      </c>
      <c r="D35" s="153"/>
      <c r="E35" s="153">
        <v>797.5593610892904</v>
      </c>
      <c r="F35" s="153">
        <v>2279.1872539370083</v>
      </c>
      <c r="G35" s="153">
        <v>0</v>
      </c>
      <c r="H35" s="153">
        <v>2279.1872539370083</v>
      </c>
      <c r="I35" s="153">
        <v>2373.699238302503</v>
      </c>
      <c r="J35" s="153"/>
      <c r="K35" s="173">
        <v>2373.699238302503</v>
      </c>
      <c r="L35" s="153">
        <f>I35+F35+C35</f>
        <v>5450.445853328802</v>
      </c>
      <c r="M35" s="153">
        <v>0</v>
      </c>
      <c r="N35" s="173">
        <f>K35+H35+E35</f>
        <v>5450.445853328802</v>
      </c>
    </row>
    <row r="36" spans="1:14" s="137" customFormat="1" ht="21.75" customHeight="1">
      <c r="A36" s="151" t="s">
        <v>39</v>
      </c>
      <c r="B36" s="152" t="s">
        <v>80</v>
      </c>
      <c r="C36" s="153"/>
      <c r="D36" s="153">
        <v>3389.6272846294837</v>
      </c>
      <c r="E36" s="153">
        <v>3389.6272846294837</v>
      </c>
      <c r="F36" s="153">
        <v>3463.796013779528</v>
      </c>
      <c r="G36" s="153">
        <v>715.5036909448825</v>
      </c>
      <c r="H36" s="153">
        <v>4179.299704724411</v>
      </c>
      <c r="I36" s="153">
        <v>4255.290097932535</v>
      </c>
      <c r="J36" s="153">
        <v>704.3904243743198</v>
      </c>
      <c r="K36" s="155">
        <v>4959.680522306855</v>
      </c>
      <c r="L36" s="153">
        <v>7719.086111712063</v>
      </c>
      <c r="M36" s="153">
        <v>4809.521399948686</v>
      </c>
      <c r="N36" s="155">
        <v>12528.607511660748</v>
      </c>
    </row>
    <row r="37" spans="1:14" s="137" customFormat="1" ht="21.75" customHeight="1">
      <c r="A37" s="151" t="s">
        <v>45</v>
      </c>
      <c r="B37" s="152" t="s">
        <v>80</v>
      </c>
      <c r="C37" s="153"/>
      <c r="D37" s="153">
        <v>2133.9349882168103</v>
      </c>
      <c r="E37" s="153">
        <v>2133.9349882168103</v>
      </c>
      <c r="F37" s="153"/>
      <c r="G37" s="153">
        <v>4179.29970472441</v>
      </c>
      <c r="H37" s="153">
        <v>4179.29970472441</v>
      </c>
      <c r="I37" s="153"/>
      <c r="J37" s="153">
        <v>4255.290097932535</v>
      </c>
      <c r="K37" s="155">
        <v>4255.290097932535</v>
      </c>
      <c r="L37" s="153">
        <v>0</v>
      </c>
      <c r="M37" s="153">
        <f>J37+G37+D37</f>
        <v>10568.524790873755</v>
      </c>
      <c r="N37" s="155">
        <f>K37+H37+E37</f>
        <v>10568.524790873755</v>
      </c>
    </row>
    <row r="38" spans="1:14" s="137" customFormat="1" ht="21.75" customHeight="1">
      <c r="A38" s="151" t="s">
        <v>75</v>
      </c>
      <c r="B38" s="152" t="s">
        <v>80</v>
      </c>
      <c r="C38" s="153">
        <v>1003.4409636030375</v>
      </c>
      <c r="D38" s="153">
        <v>252.25133280963593</v>
      </c>
      <c r="E38" s="153">
        <v>1255.6922964126734</v>
      </c>
      <c r="F38" s="153"/>
      <c r="G38" s="153"/>
      <c r="H38" s="153"/>
      <c r="I38" s="153"/>
      <c r="J38" s="153"/>
      <c r="K38" s="155"/>
      <c r="L38" s="153">
        <v>1003.4409636030375</v>
      </c>
      <c r="M38" s="153">
        <v>252.25133280963593</v>
      </c>
      <c r="N38" s="155">
        <v>1255.6922964126734</v>
      </c>
    </row>
    <row r="39" spans="1:14" s="137" customFormat="1" ht="21.75" customHeight="1">
      <c r="A39" s="158" t="s">
        <v>39</v>
      </c>
      <c r="B39" s="159" t="s">
        <v>80</v>
      </c>
      <c r="C39" s="160">
        <v>1003.4409636030375</v>
      </c>
      <c r="D39" s="160">
        <v>5775.813605655931</v>
      </c>
      <c r="E39" s="160">
        <v>6779.254569258967</v>
      </c>
      <c r="F39" s="160">
        <v>3463.796013779528</v>
      </c>
      <c r="G39" s="160">
        <v>4894.8033956692925</v>
      </c>
      <c r="H39" s="160">
        <v>8358.59940944882</v>
      </c>
      <c r="I39" s="160">
        <v>4255.290097932535</v>
      </c>
      <c r="J39" s="160">
        <v>4959.680522306855</v>
      </c>
      <c r="K39" s="161">
        <v>9214.97062023939</v>
      </c>
      <c r="L39" s="160">
        <v>8722.5270753151</v>
      </c>
      <c r="M39" s="160">
        <f>J39+G39+D39</f>
        <v>15630.297523632078</v>
      </c>
      <c r="N39" s="161">
        <f>K39+H39+E39</f>
        <v>24352.824598947176</v>
      </c>
    </row>
    <row r="40" spans="1:14" s="137" customFormat="1" ht="21.75" customHeight="1">
      <c r="A40" s="151" t="s">
        <v>92</v>
      </c>
      <c r="B40" s="152" t="s">
        <v>80</v>
      </c>
      <c r="C40" s="153"/>
      <c r="D40" s="153">
        <v>890</v>
      </c>
      <c r="E40" s="153">
        <v>890</v>
      </c>
      <c r="F40" s="153"/>
      <c r="G40" s="153"/>
      <c r="H40" s="153"/>
      <c r="I40" s="153"/>
      <c r="J40" s="153"/>
      <c r="K40" s="155"/>
      <c r="L40" s="153">
        <v>0</v>
      </c>
      <c r="M40" s="153">
        <v>890</v>
      </c>
      <c r="N40" s="155">
        <v>890</v>
      </c>
    </row>
    <row r="41" spans="1:14" s="137" customFormat="1" ht="21.75" customHeight="1">
      <c r="A41" s="162" t="s">
        <v>76</v>
      </c>
      <c r="B41" s="152" t="s">
        <v>80</v>
      </c>
      <c r="C41" s="163">
        <v>1003.4409636030375</v>
      </c>
      <c r="D41" s="163">
        <v>6665.813605655929</v>
      </c>
      <c r="E41" s="163">
        <v>7669.2545692589665</v>
      </c>
      <c r="F41" s="163">
        <v>3463.796013779528</v>
      </c>
      <c r="G41" s="163">
        <v>4894.8033956692925</v>
      </c>
      <c r="H41" s="163">
        <v>8358.59940944882</v>
      </c>
      <c r="I41" s="163">
        <v>4255.290097932535</v>
      </c>
      <c r="J41" s="163">
        <v>4959.680522306855</v>
      </c>
      <c r="K41" s="164">
        <v>9214.97062023939</v>
      </c>
      <c r="L41" s="163">
        <v>8722.5270753151</v>
      </c>
      <c r="M41" s="163">
        <f>J41+G41+D41</f>
        <v>16520.297523632078</v>
      </c>
      <c r="N41" s="164">
        <f>K41+H41+E41</f>
        <v>25242.824598947176</v>
      </c>
    </row>
    <row r="42" spans="1:14" s="137" customFormat="1" ht="21.75" customHeight="1">
      <c r="A42" s="165" t="s">
        <v>40</v>
      </c>
      <c r="B42" s="152" t="s">
        <v>80</v>
      </c>
      <c r="C42" s="153">
        <v>4013.76385441215</v>
      </c>
      <c r="D42" s="153">
        <v>1209.3689358470806</v>
      </c>
      <c r="E42" s="153">
        <v>5223.132790259231</v>
      </c>
      <c r="F42" s="153">
        <v>5605.568651574804</v>
      </c>
      <c r="G42" s="153">
        <v>1636.1816190944885</v>
      </c>
      <c r="H42" s="153">
        <v>7241.750270669292</v>
      </c>
      <c r="I42" s="153">
        <v>6069.336670293797</v>
      </c>
      <c r="J42" s="153">
        <v>1782.8797083786726</v>
      </c>
      <c r="K42" s="155">
        <v>7852.2163786724705</v>
      </c>
      <c r="L42" s="153">
        <v>15688.669176280753</v>
      </c>
      <c r="M42" s="153">
        <v>4628.430263320242</v>
      </c>
      <c r="N42" s="155">
        <v>20317.099439600992</v>
      </c>
    </row>
    <row r="43" spans="1:14" s="137" customFormat="1" ht="21.75" customHeight="1" thickBot="1">
      <c r="A43" s="174" t="s">
        <v>81</v>
      </c>
      <c r="B43" s="175" t="s">
        <v>80</v>
      </c>
      <c r="C43" s="176">
        <v>5814.764179104478</v>
      </c>
      <c r="D43" s="176">
        <v>7875.182541503009</v>
      </c>
      <c r="E43" s="176">
        <v>13689.946720607488</v>
      </c>
      <c r="F43" s="176">
        <v>11348.551919291342</v>
      </c>
      <c r="G43" s="176">
        <v>6530.985014763781</v>
      </c>
      <c r="H43" s="176">
        <v>17879.53693405512</v>
      </c>
      <c r="I43" s="176">
        <v>12698.326006528834</v>
      </c>
      <c r="J43" s="176">
        <v>6742.560230685527</v>
      </c>
      <c r="K43" s="177">
        <v>19440.886237214363</v>
      </c>
      <c r="L43" s="176">
        <f>I43+F43+C43</f>
        <v>29861.642104924653</v>
      </c>
      <c r="M43" s="176">
        <f>J43+G43+D43</f>
        <v>21148.727786952317</v>
      </c>
      <c r="N43" s="177">
        <f>K43+H43+E43</f>
        <v>51010.369891876966</v>
      </c>
    </row>
    <row r="44" ht="6" customHeight="1" thickTop="1"/>
    <row r="45" spans="1:5" ht="12.75">
      <c r="A45" s="184"/>
      <c r="B45" s="180"/>
      <c r="C45" s="180"/>
      <c r="D45" s="180"/>
      <c r="E45" s="180"/>
    </row>
    <row r="46" spans="1:5" s="138" customFormat="1" ht="11.25" customHeight="1">
      <c r="A46" s="182" t="s">
        <v>88</v>
      </c>
      <c r="B46" s="183">
        <v>2004</v>
      </c>
      <c r="C46" s="183">
        <v>2005</v>
      </c>
      <c r="D46" s="183">
        <v>2006</v>
      </c>
      <c r="E46" s="179"/>
    </row>
    <row r="47" spans="1:5" ht="12" customHeight="1">
      <c r="A47" s="184"/>
      <c r="B47" s="184">
        <v>1.1040411975211661</v>
      </c>
      <c r="C47" s="184">
        <v>1.128198818897638</v>
      </c>
      <c r="D47" s="184">
        <v>1.1487123685165035</v>
      </c>
      <c r="E47" s="180"/>
    </row>
    <row r="48" spans="1:5" s="138" customFormat="1" ht="15.75" customHeight="1">
      <c r="A48" s="181" t="s">
        <v>89</v>
      </c>
      <c r="B48" s="181"/>
      <c r="C48" s="181"/>
      <c r="D48" s="181"/>
      <c r="E48" s="179"/>
    </row>
    <row r="49" spans="1:5" s="138" customFormat="1" ht="12">
      <c r="A49" s="181" t="s">
        <v>90</v>
      </c>
      <c r="B49" s="179"/>
      <c r="C49" s="179"/>
      <c r="D49" s="179"/>
      <c r="E49" s="179"/>
    </row>
    <row r="50" spans="1:5" ht="17.25" customHeight="1">
      <c r="A50" s="188" t="s">
        <v>94</v>
      </c>
      <c r="B50" s="180"/>
      <c r="C50" s="180"/>
      <c r="D50" s="180"/>
      <c r="E50" s="180"/>
    </row>
    <row r="51" spans="1:7" ht="12.75">
      <c r="A51" s="189" t="s">
        <v>96</v>
      </c>
      <c r="B51" s="186"/>
      <c r="C51" s="186"/>
      <c r="D51" s="186"/>
      <c r="E51" s="186"/>
      <c r="F51" s="186"/>
      <c r="G51" s="186"/>
    </row>
    <row r="52" spans="1:7" ht="13.5">
      <c r="A52" s="188" t="s">
        <v>95</v>
      </c>
      <c r="B52" s="185"/>
      <c r="C52" s="185"/>
      <c r="D52" s="185"/>
      <c r="E52" s="185"/>
      <c r="F52" s="186"/>
      <c r="G52" s="186"/>
    </row>
    <row r="53" ht="13.5">
      <c r="A53" s="188" t="s">
        <v>97</v>
      </c>
    </row>
  </sheetData>
  <mergeCells count="4">
    <mergeCell ref="C6:E6"/>
    <mergeCell ref="F6:H6"/>
    <mergeCell ref="I6:K6"/>
    <mergeCell ref="L6:N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bozik</dc:creator>
  <cp:keywords/>
  <dc:description/>
  <cp:lastModifiedBy>sulik</cp:lastModifiedBy>
  <cp:lastPrinted>2003-12-11T15:05:43Z</cp:lastPrinted>
  <dcterms:created xsi:type="dcterms:W3CDTF">2003-06-26T10:57:10Z</dcterms:created>
  <dcterms:modified xsi:type="dcterms:W3CDTF">2004-05-19T09:45:40Z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823140302</vt:i4>
  </property>
  <property fmtid="{D5CDD505-2E9C-101B-9397-08002B2CF9AE}" pid="3" name="_EmailSubject">
    <vt:lpwstr>Posoielam Strednodobú koncepciu čo bola prerokovaná vo vláde </vt:lpwstr>
  </property>
  <property fmtid="{D5CDD505-2E9C-101B-9397-08002B2CF9AE}" pid="4" name="_AuthorEmail">
    <vt:lpwstr>denko@land.gov.sk</vt:lpwstr>
  </property>
  <property fmtid="{D5CDD505-2E9C-101B-9397-08002B2CF9AE}" pid="5" name="_AuthorEmailDisplayName">
    <vt:lpwstr>Denko Jan </vt:lpwstr>
  </property>
  <property fmtid="{D5CDD505-2E9C-101B-9397-08002B2CF9AE}" pid="6" name="_PreviousAdHocReviewCycleID">
    <vt:i4>1557538145</vt:i4>
  </property>
</Properties>
</file>